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2" windowWidth="18192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'Лист1'!$A:$B,'Лист1'!$2:$6</definedName>
    <definedName name="_xlnm.Print_Area" localSheetId="0">'Лист1'!$A$1:$CE$39</definedName>
  </definedNames>
  <calcPr fullCalcOnLoad="1"/>
</workbook>
</file>

<file path=xl/comments1.xml><?xml version="1.0" encoding="utf-8"?>
<comments xmlns="http://schemas.openxmlformats.org/spreadsheetml/2006/main">
  <authors>
    <author>Хохлова Н.В.</author>
  </authors>
  <commentList>
    <comment ref="BC31" authorId="0">
      <text>
        <r>
          <rPr>
            <b/>
            <sz val="9"/>
            <rFont val="Tahoma"/>
            <family val="2"/>
          </rPr>
          <t>Хохлова Н.В.:</t>
        </r>
        <r>
          <rPr>
            <sz val="9"/>
            <rFont val="Tahoma"/>
            <family val="2"/>
          </rPr>
          <t xml:space="preserve">
не указан год, за кот. Проводилась оценка</t>
        </r>
      </text>
    </comment>
    <comment ref="BY35" authorId="0">
      <text>
        <r>
          <rPr>
            <b/>
            <sz val="9"/>
            <rFont val="Tahoma"/>
            <family val="2"/>
          </rPr>
          <t>Хохлова Н.В.:</t>
        </r>
        <r>
          <rPr>
            <sz val="9"/>
            <rFont val="Tahoma"/>
            <family val="2"/>
          </rPr>
          <t xml:space="preserve">
расчеты только на 2020 год</t>
        </r>
      </text>
    </comment>
  </commentList>
</comments>
</file>

<file path=xl/sharedStrings.xml><?xml version="1.0" encoding="utf-8"?>
<sst xmlns="http://schemas.openxmlformats.org/spreadsheetml/2006/main" count="557" uniqueCount="187">
  <si>
    <t>Удельный вес расходов местных бюджетов, формируемых в рамках программ, в общем объеме расходов местных бюджетов</t>
  </si>
  <si>
    <t>Количество изменений, внесенных в решение о бюджете за отчетный год</t>
  </si>
  <si>
    <t>Исполнение бюджета муниципального образования по доходам без учета безвозмездных поступлений к первоначально утвержденному плану</t>
  </si>
  <si>
    <t>Доля муниципальных образований, на территории которых введено самообложение граждан, к их общему количеству</t>
  </si>
  <si>
    <t>Степень достижения муниципальным образованием максимального количества баллов, набранных в ходе проведения мониторинга и составления рейтинга муниципальных образований по уровню открытости бюджетных данных</t>
  </si>
  <si>
    <t>Выполнение минимальных требований к составу годовой финансовой отчетности</t>
  </si>
  <si>
    <t xml:space="preserve">Наличие результатов оценки качества финансового менеджмента главных распорядителей средств бюджета муниципального образования и формирование их ежегодного рейтинга на основе методики, утвержденной правовым актом муниципального образования    </t>
  </si>
  <si>
    <t xml:space="preserve">Доля объема взысканных средств из бюджета муниципального образования в связи с выявлением факта нарушения условий предоставления (расходования) и (или) нецелевого использования межбюджетных трансфертов в общем объеме указанных межбюджетных трансфертов    </t>
  </si>
  <si>
    <t>Размещение на официальных сайтах органов местного самоуправление информации об исполнении бюджета муниципального образования за отчетный год (ежемесячной, ежеквартальной, годовой)</t>
  </si>
  <si>
    <t>Всего баллов</t>
  </si>
  <si>
    <t>Балльная оценка показателя PK1.1</t>
  </si>
  <si>
    <t>Общий объем расходов местного бюджета</t>
  </si>
  <si>
    <t>Процент исполнения местного бюджета по налоговым и неналоговым доходам</t>
  </si>
  <si>
    <t>Объем доходов бюджета муниципального образования без учета безвозмездных поступлений в отчетном финансовом году</t>
  </si>
  <si>
    <t>Первоначально утвержденный решением о бюджете муниципального образования объем доходов без учета безвозмездных поступлений</t>
  </si>
  <si>
    <t>Количество муниципальных образований, на территории которых введено самообложение граждан</t>
  </si>
  <si>
    <t xml:space="preserve">Количество муниципальных образований на соответствующей территории, где возможно самообложение граждан  </t>
  </si>
  <si>
    <t xml:space="preserve">Количество баллов, набранных муниципальным образованием в ходе проведения мониторинга и составления рейтинга муниципальных образований по уровню открытости бюджетных данных за отчетный финансовый год </t>
  </si>
  <si>
    <t>Максимально возможное количество баллов муниципального образования по методике проведения мониторинга и составления рейтинга муниципальных образований по уровню открытости бюджетных данных за отчетный финансовый год</t>
  </si>
  <si>
    <t>Качество предоставления годовой финансовой отчетности</t>
  </si>
  <si>
    <t>Своевременность предоставления годовой финансовой отчетности</t>
  </si>
  <si>
    <t>Размещение на официальных сайтах органов местного самоуправление информации об исполнении бюджета муниципального образования (ежемесячной информации)</t>
  </si>
  <si>
    <t>Размещение на официальных сайтах органов местного самоуправление информации об исполнении бюджета муниципального образования (ежеквартальной информации)</t>
  </si>
  <si>
    <t>Размещение на официальных сайтах органов местного самоуправление информации об исполнении бюджета муниципального образования (годовой информации)</t>
  </si>
  <si>
    <t>да</t>
  </si>
  <si>
    <t>≥100%</t>
  </si>
  <si>
    <t>≤4</t>
  </si>
  <si>
    <t>≤10%</t>
  </si>
  <si>
    <t xml:space="preserve">100% - ср.знач.- 1, ≥ ср. знач. - 1,5 </t>
  </si>
  <si>
    <t>Единицы измерения</t>
  </si>
  <si>
    <t>балл</t>
  </si>
  <si>
    <t>рублей</t>
  </si>
  <si>
    <t>%</t>
  </si>
  <si>
    <t>единиц</t>
  </si>
  <si>
    <t>ИТОГО</t>
  </si>
  <si>
    <t>-</t>
  </si>
  <si>
    <t xml:space="preserve">                          -</t>
  </si>
  <si>
    <t xml:space="preserve">                           -</t>
  </si>
  <si>
    <t xml:space="preserve">                 -</t>
  </si>
  <si>
    <t xml:space="preserve">                -</t>
  </si>
  <si>
    <t xml:space="preserve">                        -</t>
  </si>
  <si>
    <t xml:space="preserve">                                 -</t>
  </si>
  <si>
    <t xml:space="preserve">                     -</t>
  </si>
  <si>
    <t>PK1.1</t>
  </si>
  <si>
    <t xml:space="preserve">90% - 95% - 1 ,         ≥ 95% - 1,5 </t>
  </si>
  <si>
    <t>PК1.2</t>
  </si>
  <si>
    <t>Балльная оценка показателя PK1.2</t>
  </si>
  <si>
    <t>PК1.3</t>
  </si>
  <si>
    <t>Балльная оценка показателя PK1.3</t>
  </si>
  <si>
    <t>PК1.4</t>
  </si>
  <si>
    <t>Балльная оценка показателя PK1.4</t>
  </si>
  <si>
    <t>PК1.5</t>
  </si>
  <si>
    <t>Балльная оценка показателя PK1.5</t>
  </si>
  <si>
    <t>PК1.6</t>
  </si>
  <si>
    <t>Количество муниципальных образований на соответствующей территории</t>
  </si>
  <si>
    <t>Балльная оценка показателя PK1.6</t>
  </si>
  <si>
    <t>80% - 90% - 1 ,         ≥ 90% - 2</t>
  </si>
  <si>
    <t>PК1.7</t>
  </si>
  <si>
    <t>Балльная оценка показателя PK1.7</t>
  </si>
  <si>
    <t>PК1.8</t>
  </si>
  <si>
    <t>Балльная оценка показателя PK1.8</t>
  </si>
  <si>
    <t>Объем зарезервированных средств в первоначальной редакции расходов бюджета муниципального образования</t>
  </si>
  <si>
    <t>Объем расходов местного бюджета в первоначальной редакции расходов бюджета муниципального образования</t>
  </si>
  <si>
    <t>&gt;1%</t>
  </si>
  <si>
    <t>Доля неиспользованных на конец отчетного финансового года бюджетных ассигнований</t>
  </si>
  <si>
    <t>PК1.9</t>
  </si>
  <si>
    <t>Балльная оценка показателя PK1.9</t>
  </si>
  <si>
    <t>Общий объем бюджетных ассигнований за отчетный финансовый год</t>
  </si>
  <si>
    <t>Обеспечение достижения целевых значений показателей результативности  использования субсидий, предоставленных из областного бюджета бюджету муниципального образования</t>
  </si>
  <si>
    <t>PК1.10</t>
  </si>
  <si>
    <t>Балльная оценка показателя PK1.10</t>
  </si>
  <si>
    <t>PК2.1</t>
  </si>
  <si>
    <t>PК2.2</t>
  </si>
  <si>
    <t>Балльная оценка показателя PK2.2</t>
  </si>
  <si>
    <t>&lt;100%</t>
  </si>
  <si>
    <t>PК2.3</t>
  </si>
  <si>
    <t>Балльная оценка показателя PK2.3</t>
  </si>
  <si>
    <t xml:space="preserve">Темп роста налоговых и неналоговых доходов местного бюджета к соответствующему периоду финансового
года, предшествующего отчетному
текущему
</t>
  </si>
  <si>
    <t>PК2.4</t>
  </si>
  <si>
    <t>Балльная оценка показателя PK2.4</t>
  </si>
  <si>
    <t>PК2.5</t>
  </si>
  <si>
    <t>Балльная оценка показателя PK2.5</t>
  </si>
  <si>
    <t>PК2.6</t>
  </si>
  <si>
    <t>Балльная оценка показателя PK2.6</t>
  </si>
  <si>
    <t>PК2.7</t>
  </si>
  <si>
    <t>Балльная оценка показателя PK2.7</t>
  </si>
  <si>
    <t>PK2.9</t>
  </si>
  <si>
    <t xml:space="preserve">Темп роста поступлений средств от приносящей доход деятельности муниципальных бюджетных и автономных учреждений </t>
  </si>
  <si>
    <t>Балльная оценка показателя PK2.9</t>
  </si>
  <si>
    <t>&gt;100%</t>
  </si>
  <si>
    <t>Балльная оценка показателя PK2.1</t>
  </si>
  <si>
    <t>Балльная оценка показателя PK2.8</t>
  </si>
  <si>
    <t>PK2.8</t>
  </si>
  <si>
    <t>PK3.1</t>
  </si>
  <si>
    <t>Балльная оценка показателя PK3.1</t>
  </si>
  <si>
    <t>PK3.2</t>
  </si>
  <si>
    <t>Балльная оценка показателя PK3.2</t>
  </si>
  <si>
    <t>PK3.3</t>
  </si>
  <si>
    <t>Балльная оценка показателя PK3.3</t>
  </si>
  <si>
    <t>PK3.4</t>
  </si>
  <si>
    <t>Балльная оценка показателя PK3.4</t>
  </si>
  <si>
    <t>Удельный вес зарезервированных средств бюджета муниципального образования в объеме расходов бюджета муниципального образования</t>
  </si>
  <si>
    <t>&lt;110%</t>
  </si>
  <si>
    <t>Количество муниципальных образований на соответствующей территории, которым предоставлены межбюджетные трансферты на поддержку местных инициатив из областного бюджета</t>
  </si>
  <si>
    <t>Доля муниципальных образований на соответствующей территории, которым предоставлены межбюджетные трансферты на поддержку местных инициатив из областного бюджета</t>
  </si>
  <si>
    <t>нет</t>
  </si>
  <si>
    <t>проект</t>
  </si>
  <si>
    <t>не все</t>
  </si>
  <si>
    <t xml:space="preserve">Городской округ город Брянск 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</si>
  <si>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</si>
  <si>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</si>
  <si>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</si>
  <si>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Стародуб</t>
  </si>
  <si>
    <t>Городской округ город Фокино</t>
  </si>
  <si>
    <t>Брасовский муниципальный  район</t>
  </si>
  <si>
    <t>Брянский  муниципальный район</t>
  </si>
  <si>
    <t>Выгоничский муниципальный район</t>
  </si>
  <si>
    <t>Гордеевский  муниципальный район</t>
  </si>
  <si>
    <t>Дубровский  муниципальный район</t>
  </si>
  <si>
    <t>Дятьковский  муниципальный район</t>
  </si>
  <si>
    <t>Жирятинский  муниципальный район</t>
  </si>
  <si>
    <t>Жуковский муниципальный район</t>
  </si>
  <si>
    <t>Злынковский  муниципальный район</t>
  </si>
  <si>
    <t>Карачевский  муниципальный район</t>
  </si>
  <si>
    <t>Клетнянский  муниципальный район</t>
  </si>
  <si>
    <t>Климовский  муниципальный район</t>
  </si>
  <si>
    <t>Клинцовский  муниципальный район</t>
  </si>
  <si>
    <t>Комаричский  муниципальный район</t>
  </si>
  <si>
    <t>Красногорский  муниципальный район</t>
  </si>
  <si>
    <t>Мглинский  муниципальный район</t>
  </si>
  <si>
    <t>Навлинский  муниципальный район</t>
  </si>
  <si>
    <t>Погарский муниципальный район</t>
  </si>
  <si>
    <t>Почепский  муниципальный район</t>
  </si>
  <si>
    <t>Рогнединский  муниципальный район</t>
  </si>
  <si>
    <t>Севский муниципальный район</t>
  </si>
  <si>
    <t>Стародубский  муниципальный район</t>
  </si>
  <si>
    <t>Суземский  муниципальный район</t>
  </si>
  <si>
    <t>Суражский муниципальный район</t>
  </si>
  <si>
    <t>Трубчевский  муниципальный район</t>
  </si>
  <si>
    <t>Унечский муниципальный район</t>
  </si>
  <si>
    <t>Отклонение объема расходов бюджета муниципального образования в IV квартале от среднего объема расходов за I-III кварталы (без учета субсидий, субвенций и иных межбюджетных трансфертов, имеющих целевое назначение, поступивших их областного бюджета)</t>
  </si>
  <si>
    <t>Объём налоговых и неналоговых доходов местного бюджета (фактическое исполнение) в отчетном финансовом году</t>
  </si>
  <si>
    <t>Объем налоговых и неналоговых доходов местного бюджета (уточненный план) в отчетном финансовом году</t>
  </si>
  <si>
    <t>Удельный вес зарезервированных средств бюджета муниципального образования в объёме расходов бюджета муниципального образования</t>
  </si>
  <si>
    <t>Объем неисполненных на конец отчётного года бюджетных ассигнований</t>
  </si>
  <si>
    <t>Объем налоговых и неналоговых доходов местного бюджета на 01.01.2020</t>
  </si>
  <si>
    <t>Объем поступлений средств от приносящей доход деятельности муниципальных бюджетных и автономных учреждений за 2019 год</t>
  </si>
  <si>
    <t>Размещение на официальных сайтах органов местного самоуправления решений о бюджете на соответствующий год и на плановый период, а так же решений о внесении изменений в решение о бюджете на отчетный год и на плановый период</t>
  </si>
  <si>
    <t>Размещение на официальных сайтах органов местного самоуправления расчетов распределения дотаций на выравнивание бюджетной обеспеченности поселений, предусмотренных решением о местном бюджете на соответствующий финансовый год и на плановый период</t>
  </si>
  <si>
    <t>Размещение на официальных сайтах органов местного самоуправления правовых актов финансового органа, документов и материалов по вопросам организации и осуществления бюджетного процесса, управления муниципальными финансами</t>
  </si>
  <si>
    <t>&gt;75%</t>
  </si>
  <si>
    <t>&gt;50%</t>
  </si>
  <si>
    <t>Удельный вес расходов местных бюджетов, формируемых в рамках программ, в общем объеме расходов местных бюджетов*</t>
  </si>
  <si>
    <t>* - показатели консолид. бюджета МР</t>
  </si>
  <si>
    <t>Выполнение плана по налоговым и неналоговым доходам местных бюджетов*</t>
  </si>
  <si>
    <t>Исполнение бюджета муниципального образования по доходам без учета безвозмездных поступлений к первоначально утвержденному плану*</t>
  </si>
  <si>
    <t>Доля неиспользованных на конец отчетного финансового года бюджетных ассигнований*</t>
  </si>
  <si>
    <t xml:space="preserve">Темп роста налоговых и неналоговых доходов местного бюджета к соответствующему периоду финансового года, предшествующего отчетному*
</t>
  </si>
  <si>
    <t>Просроченная задолженность по исполнению долговых обязательств муниципального образования*</t>
  </si>
  <si>
    <t>Отклонение объема расходов бюджета муниципального образования в IV квартале от среднего объема расходов за I-III кварталы (без учета субсидий, субвенций и иных межбюджетных трансфертов, имеющих целевое назначение, поступивших их областного бюджета)*</t>
  </si>
  <si>
    <t>Темп роста поступлений средств от приносящей доход деятельности муниципальных бюджетных и автономных учреждений*</t>
  </si>
  <si>
    <t>Нормативное значение показателя</t>
  </si>
  <si>
    <t>1% - 2% - 0,5 ,             ≤ 1% - 1</t>
  </si>
  <si>
    <t>Жуковский муниципальный округ</t>
  </si>
  <si>
    <t>Стародубский  муниципальный округ</t>
  </si>
  <si>
    <t>Объем просроченной кредиторской задолженности консолидированного бюджета муниципального района (бюджета муниципального округа, городского округа), бюджетных и автономных учреждений муниципального образования</t>
  </si>
  <si>
    <t>Объем просроченной кредиторской задолженности консолидированного бюджета муниципального района (бюджета муниципального округа, городского округа), бюджетных и автономных учреждений муниципального образования на 01.01.2021</t>
  </si>
  <si>
    <t>Темп снижения недоимки по налоговым платежам в консолидированный бюджет муниципального района (муниципального округа, городского округа) за отчетный год</t>
  </si>
  <si>
    <t>Недоимка  по налоговым платежам в консолидированный бюджет муниципального района (муниципального округа, городского округа) на 01.01.2021</t>
  </si>
  <si>
    <t>Недоимка  по налоговым платежам в консолидированный бюджет муниципального района (муниципального округа, городского округа) на 01.01.2020</t>
  </si>
  <si>
    <t>Темп снижения  недоимки по налоговым платежам в консолидированный бюджет муниципального района (муниципального округа, городского округа) за отчетный год</t>
  </si>
  <si>
    <t>Объем налоговых и неналоговых доходов местного бюджета на 01.01.2021</t>
  </si>
  <si>
    <t>Просроченная задолженность по исполнению долговых обязательств муниципального образования на 01.01.2021</t>
  </si>
  <si>
    <t xml:space="preserve">Объем взысканных средств из бюджета муниципального образования в связи с применением бюджетных мер принуждения при выявлении фактов нарушения условий предоставления (расходования) и (или) нецелевого использования межбюджетных трансфертов из областного бюджета за 2020 год     </t>
  </si>
  <si>
    <t>Общий объем целевых межбюджетных трансфертов, предоставляемых из областного бюджета бюджету муниципального образования в 2020 году</t>
  </si>
  <si>
    <t>Объем расходов бюджета муниципального образования (без учета субсидий, субвенций и иных межбюджетных трансфертов, имеющих целевое назначение, поступивших их областного бюджета) в I квартале 2020 года</t>
  </si>
  <si>
    <t>Объем расходов бюджета муниципального образования (без учета субсидий, субвенций и иных межбюджетных трансфертов, имеющих целевое назначение, поступивших их областного бюджета) во II квартале 2020 года</t>
  </si>
  <si>
    <t>Объем расходов бюджета муниципального образования (без учета субсидий, субвенций и иных межбюджетных трансфертов, имеющих целевое назначение, поступивших их областного бюджета) в III квартале 2020 года</t>
  </si>
  <si>
    <t>Объем расходов бюджета муниципального образования (без учета субсидий, субвенций и иных межбюджетных трансфертов, имеющих целевое назначение, поступивших их областного бюджета) в IV квартале 2020 года</t>
  </si>
  <si>
    <t>Объем поступлений средств от приносящей доход деятельности муниципальных бюджетных и автономных учреждений за 2020 год</t>
  </si>
  <si>
    <t>Размещение на официальных сайтах органов местного самоуправления решений о бюджете на 2020 и на плановый период 2021 и 2022 годов , а так же решений о внесении изменений в решение о бюджете на 2020 и на плановый период 2021 и 2022 годов</t>
  </si>
  <si>
    <t>Размещение на официальных сайтах органов местного самоуправления расчетов распределения дотаций на выравнивание бюджетной обеспеченности поселений, предусмотренных решением о местном бюджете на 2020 год и на плановый период 2021 и 2022 годов</t>
  </si>
  <si>
    <t>Мониторинг оценки качества организации и осуществления бюджетного процесса муниципальных районов (муниципальных округов, городских округов) за 2020 год</t>
  </si>
  <si>
    <t>Распределение дотации              II вариант                                      (19,5-22,5)</t>
  </si>
  <si>
    <t>Утвержденный объем расходов местного бюджета, формируемых в рамках программ (программный бюджет)</t>
  </si>
  <si>
    <t>Всего баллов с учетом выполнения соглашений с департаментом финансов Брянской области о мерах по социально-экономическому развитию и оздоровлению муниципальных финансов муниципальных районов (муниципальных округов, городских округов)</t>
  </si>
  <si>
    <t>Наименование и статус муниципального образования Брянской области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</si>
</sst>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%"/>
    <numFmt numFmtId="175" formatCode="#,##0.0_ ;\-#,##0.0\ "/>
    <numFmt numFmtId="176" formatCode="#,##0.000_ ;\-#,##0.000\ "/>
    <numFmt numFmtId="177" formatCode="#,##0.0_ ;[Red]\-#,##0.0\ "/>
    <numFmt numFmtId="178" formatCode="0.0_ ;[Red]\-0.0\ "/>
    <numFmt numFmtId="179" formatCode="_-* #,##0_р_._-;\-* #,##0_р_._-;_-* &quot;-&quot;??_р_._-;_-@_-"/>
    <numFmt numFmtId="180" formatCode="#,##0.00_ ;[Red]\-#,##0.00\ "/>
    <numFmt numFmtId="181" formatCode="#,##0.000000_ ;[Red]\-#,##0.000000\ "/>
    <numFmt numFmtId="182" formatCode="#,##0.000_ ;[Red]\-#,##0.000\ "/>
    <numFmt numFmtId="183" formatCode="_-* #,##0.00_р_._-;\-* #,##0.00_р_._-;_-* &quot;-&quot;?_р_._-;_-@_-"/>
    <numFmt numFmtId="184" formatCode="_-* #,##0.0_р_._-;\-* #,##0.0_р_._-;_-* &quot;-&quot;?_р_._-;_-@_-"/>
    <numFmt numFmtId="185" formatCode="#,##0.0000_ ;[Red]\-#,##0.0000\ "/>
    <numFmt numFmtId="186" formatCode="#,##0.000"/>
    <numFmt numFmtId="187" formatCode="#,##0.00_ ;\-#,##0.00\ 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_-* #,##0.0\ _₽_-;\-* #,##0.0\ _₽_-;_-* &quot;-&quot;?\ _₽_-;_-@_-"/>
    <numFmt numFmtId="194" formatCode="0.00000000%"/>
    <numFmt numFmtId="195" formatCode="0.000000000%"/>
    <numFmt numFmtId="196" formatCode="0.0000000000%"/>
    <numFmt numFmtId="197" formatCode="#,##0_ ;\-#,##0\ "/>
    <numFmt numFmtId="198" formatCode="#,##0.0000_ ;\-#,##0.0000\ "/>
    <numFmt numFmtId="199" formatCode="#,##0.0000"/>
    <numFmt numFmtId="200" formatCode="#,##0.00000"/>
    <numFmt numFmtId="201" formatCode="#,##0.00000_ ;[Red]\-#,##0.00000\ "/>
    <numFmt numFmtId="202" formatCode="#,##0.0000000_ ;[Red]\-#,##0.0000000\ "/>
    <numFmt numFmtId="203" formatCode="[$-FC19]d\ mmmm\ yyyy\ &quot;г.&quot;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71" fontId="3" fillId="0" borderId="0" xfId="61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9" fontId="6" fillId="34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73" fontId="6" fillId="0" borderId="16" xfId="61" applyNumberFormat="1" applyFont="1" applyFill="1" applyBorder="1" applyAlignment="1">
      <alignment horizontal="center"/>
    </xf>
    <xf numFmtId="171" fontId="4" fillId="0" borderId="16" xfId="61" applyNumberFormat="1" applyFont="1" applyFill="1" applyBorder="1" applyAlignment="1">
      <alignment horizontal="center"/>
    </xf>
    <xf numFmtId="171" fontId="4" fillId="0" borderId="17" xfId="61" applyNumberFormat="1" applyFont="1" applyFill="1" applyBorder="1" applyAlignment="1">
      <alignment horizontal="center"/>
    </xf>
    <xf numFmtId="173" fontId="6" fillId="0" borderId="16" xfId="61" applyNumberFormat="1" applyFont="1" applyFill="1" applyBorder="1" applyAlignment="1">
      <alignment/>
    </xf>
    <xf numFmtId="171" fontId="4" fillId="0" borderId="16" xfId="61" applyNumberFormat="1" applyFont="1" applyFill="1" applyBorder="1" applyAlignment="1">
      <alignment/>
    </xf>
    <xf numFmtId="171" fontId="4" fillId="0" borderId="17" xfId="61" applyNumberFormat="1" applyFont="1" applyFill="1" applyBorder="1" applyAlignment="1">
      <alignment/>
    </xf>
    <xf numFmtId="1" fontId="4" fillId="0" borderId="16" xfId="61" applyNumberFormat="1" applyFont="1" applyFill="1" applyBorder="1" applyAlignment="1">
      <alignment horizontal="center"/>
    </xf>
    <xf numFmtId="174" fontId="4" fillId="0" borderId="17" xfId="56" applyNumberFormat="1" applyFont="1" applyFill="1" applyBorder="1" applyAlignment="1">
      <alignment horizontal="center"/>
    </xf>
    <xf numFmtId="175" fontId="4" fillId="0" borderId="16" xfId="61" applyNumberFormat="1" applyFont="1" applyFill="1" applyBorder="1" applyAlignment="1">
      <alignment horizontal="center"/>
    </xf>
    <xf numFmtId="177" fontId="4" fillId="0" borderId="16" xfId="61" applyNumberFormat="1" applyFont="1" applyFill="1" applyBorder="1" applyAlignment="1">
      <alignment horizontal="center"/>
    </xf>
    <xf numFmtId="177" fontId="4" fillId="0" borderId="16" xfId="61" applyNumberFormat="1" applyFont="1" applyFill="1" applyBorder="1" applyAlignment="1">
      <alignment/>
    </xf>
    <xf numFmtId="177" fontId="6" fillId="0" borderId="16" xfId="61" applyNumberFormat="1" applyFont="1" applyFill="1" applyBorder="1" applyAlignment="1">
      <alignment/>
    </xf>
    <xf numFmtId="179" fontId="4" fillId="0" borderId="16" xfId="61" applyNumberFormat="1" applyFont="1" applyFill="1" applyBorder="1" applyAlignment="1">
      <alignment/>
    </xf>
    <xf numFmtId="180" fontId="4" fillId="0" borderId="16" xfId="61" applyNumberFormat="1" applyFont="1" applyFill="1" applyBorder="1" applyAlignment="1">
      <alignment/>
    </xf>
    <xf numFmtId="173" fontId="6" fillId="0" borderId="17" xfId="61" applyNumberFormat="1" applyFont="1" applyFill="1" applyBorder="1" applyAlignment="1">
      <alignment horizontal="center"/>
    </xf>
    <xf numFmtId="179" fontId="4" fillId="0" borderId="16" xfId="61" applyNumberFormat="1" applyFont="1" applyFill="1" applyBorder="1" applyAlignment="1">
      <alignment horizontal="center"/>
    </xf>
    <xf numFmtId="173" fontId="4" fillId="0" borderId="16" xfId="61" applyNumberFormat="1" applyFont="1" applyFill="1" applyBorder="1" applyAlignment="1">
      <alignment horizontal="center"/>
    </xf>
    <xf numFmtId="173" fontId="4" fillId="0" borderId="17" xfId="61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3" fontId="0" fillId="0" borderId="16" xfId="0" applyNumberFormat="1" applyFill="1" applyBorder="1" applyAlignment="1">
      <alignment/>
    </xf>
    <xf numFmtId="171" fontId="4" fillId="0" borderId="10" xfId="61" applyNumberFormat="1" applyFont="1" applyFill="1" applyBorder="1" applyAlignment="1">
      <alignment horizontal="center"/>
    </xf>
    <xf numFmtId="171" fontId="4" fillId="0" borderId="11" xfId="61" applyNumberFormat="1" applyFont="1" applyFill="1" applyBorder="1" applyAlignment="1">
      <alignment horizontal="center"/>
    </xf>
    <xf numFmtId="171" fontId="4" fillId="0" borderId="10" xfId="61" applyNumberFormat="1" applyFont="1" applyFill="1" applyBorder="1" applyAlignment="1">
      <alignment/>
    </xf>
    <xf numFmtId="1" fontId="4" fillId="0" borderId="10" xfId="61" applyNumberFormat="1" applyFont="1" applyFill="1" applyBorder="1" applyAlignment="1">
      <alignment horizontal="center"/>
    </xf>
    <xf numFmtId="173" fontId="6" fillId="0" borderId="10" xfId="61" applyNumberFormat="1" applyFont="1" applyFill="1" applyBorder="1" applyAlignment="1">
      <alignment horizontal="center"/>
    </xf>
    <xf numFmtId="177" fontId="4" fillId="0" borderId="10" xfId="61" applyNumberFormat="1" applyFont="1" applyFill="1" applyBorder="1" applyAlignment="1">
      <alignment horizontal="center"/>
    </xf>
    <xf numFmtId="177" fontId="4" fillId="0" borderId="10" xfId="61" applyNumberFormat="1" applyFont="1" applyFill="1" applyBorder="1" applyAlignment="1">
      <alignment/>
    </xf>
    <xf numFmtId="179" fontId="4" fillId="0" borderId="10" xfId="61" applyNumberFormat="1" applyFont="1" applyFill="1" applyBorder="1" applyAlignment="1">
      <alignment/>
    </xf>
    <xf numFmtId="180" fontId="4" fillId="0" borderId="10" xfId="61" applyNumberFormat="1" applyFont="1" applyFill="1" applyBorder="1" applyAlignment="1">
      <alignment/>
    </xf>
    <xf numFmtId="179" fontId="4" fillId="0" borderId="10" xfId="61" applyNumberFormat="1" applyFont="1" applyFill="1" applyBorder="1" applyAlignment="1">
      <alignment horizontal="center"/>
    </xf>
    <xf numFmtId="173" fontId="4" fillId="0" borderId="10" xfId="61" applyNumberFormat="1" applyFont="1" applyFill="1" applyBorder="1" applyAlignment="1">
      <alignment horizontal="center"/>
    </xf>
    <xf numFmtId="173" fontId="6" fillId="0" borderId="10" xfId="61" applyNumberFormat="1" applyFont="1" applyFill="1" applyBorder="1" applyAlignment="1">
      <alignment/>
    </xf>
    <xf numFmtId="183" fontId="0" fillId="0" borderId="10" xfId="0" applyNumberFormat="1" applyFill="1" applyBorder="1" applyAlignment="1">
      <alignment/>
    </xf>
    <xf numFmtId="17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173" fontId="6" fillId="0" borderId="18" xfId="61" applyNumberFormat="1" applyFont="1" applyFill="1" applyBorder="1" applyAlignment="1">
      <alignment horizontal="center"/>
    </xf>
    <xf numFmtId="171" fontId="4" fillId="0" borderId="12" xfId="61" applyNumberFormat="1" applyFont="1" applyFill="1" applyBorder="1" applyAlignment="1">
      <alignment horizontal="center"/>
    </xf>
    <xf numFmtId="171" fontId="4" fillId="0" borderId="13" xfId="61" applyNumberFormat="1" applyFont="1" applyFill="1" applyBorder="1" applyAlignment="1">
      <alignment horizontal="center"/>
    </xf>
    <xf numFmtId="173" fontId="6" fillId="0" borderId="18" xfId="61" applyNumberFormat="1" applyFont="1" applyFill="1" applyBorder="1" applyAlignment="1">
      <alignment/>
    </xf>
    <xf numFmtId="171" fontId="4" fillId="0" borderId="12" xfId="61" applyNumberFormat="1" applyFont="1" applyFill="1" applyBorder="1" applyAlignment="1">
      <alignment/>
    </xf>
    <xf numFmtId="171" fontId="4" fillId="0" borderId="19" xfId="61" applyNumberFormat="1" applyFont="1" applyFill="1" applyBorder="1" applyAlignment="1">
      <alignment/>
    </xf>
    <xf numFmtId="1" fontId="4" fillId="0" borderId="12" xfId="61" applyNumberFormat="1" applyFont="1" applyFill="1" applyBorder="1" applyAlignment="1">
      <alignment horizontal="center"/>
    </xf>
    <xf numFmtId="171" fontId="4" fillId="0" borderId="19" xfId="61" applyNumberFormat="1" applyFont="1" applyFill="1" applyBorder="1" applyAlignment="1">
      <alignment horizontal="center"/>
    </xf>
    <xf numFmtId="174" fontId="4" fillId="0" borderId="19" xfId="56" applyNumberFormat="1" applyFont="1" applyFill="1" applyBorder="1" applyAlignment="1">
      <alignment horizontal="center"/>
    </xf>
    <xf numFmtId="173" fontId="6" fillId="0" borderId="12" xfId="61" applyNumberFormat="1" applyFont="1" applyFill="1" applyBorder="1" applyAlignment="1">
      <alignment horizontal="center"/>
    </xf>
    <xf numFmtId="175" fontId="4" fillId="0" borderId="18" xfId="61" applyNumberFormat="1" applyFont="1" applyFill="1" applyBorder="1" applyAlignment="1">
      <alignment horizontal="center"/>
    </xf>
    <xf numFmtId="177" fontId="4" fillId="0" borderId="12" xfId="61" applyNumberFormat="1" applyFont="1" applyFill="1" applyBorder="1" applyAlignment="1">
      <alignment horizontal="center"/>
    </xf>
    <xf numFmtId="171" fontId="4" fillId="0" borderId="18" xfId="61" applyNumberFormat="1" applyFont="1" applyFill="1" applyBorder="1" applyAlignment="1">
      <alignment/>
    </xf>
    <xf numFmtId="177" fontId="4" fillId="0" borderId="12" xfId="61" applyNumberFormat="1" applyFont="1" applyFill="1" applyBorder="1" applyAlignment="1">
      <alignment/>
    </xf>
    <xf numFmtId="177" fontId="6" fillId="0" borderId="18" xfId="61" applyNumberFormat="1" applyFont="1" applyFill="1" applyBorder="1" applyAlignment="1">
      <alignment/>
    </xf>
    <xf numFmtId="179" fontId="4" fillId="0" borderId="18" xfId="61" applyNumberFormat="1" applyFont="1" applyFill="1" applyBorder="1" applyAlignment="1">
      <alignment/>
    </xf>
    <xf numFmtId="179" fontId="4" fillId="0" borderId="12" xfId="61" applyNumberFormat="1" applyFont="1" applyFill="1" applyBorder="1" applyAlignment="1">
      <alignment/>
    </xf>
    <xf numFmtId="180" fontId="4" fillId="0" borderId="12" xfId="61" applyNumberFormat="1" applyFont="1" applyFill="1" applyBorder="1" applyAlignment="1">
      <alignment/>
    </xf>
    <xf numFmtId="173" fontId="6" fillId="0" borderId="19" xfId="61" applyNumberFormat="1" applyFont="1" applyFill="1" applyBorder="1" applyAlignment="1">
      <alignment horizontal="center"/>
    </xf>
    <xf numFmtId="179" fontId="4" fillId="0" borderId="12" xfId="61" applyNumberFormat="1" applyFont="1" applyFill="1" applyBorder="1" applyAlignment="1">
      <alignment horizontal="center"/>
    </xf>
    <xf numFmtId="173" fontId="4" fillId="0" borderId="18" xfId="61" applyNumberFormat="1" applyFont="1" applyFill="1" applyBorder="1" applyAlignment="1">
      <alignment horizontal="center"/>
    </xf>
    <xf numFmtId="173" fontId="4" fillId="0" borderId="13" xfId="61" applyNumberFormat="1" applyFont="1" applyFill="1" applyBorder="1" applyAlignment="1">
      <alignment horizontal="center"/>
    </xf>
    <xf numFmtId="173" fontId="4" fillId="0" borderId="12" xfId="61" applyNumberFormat="1" applyFont="1" applyFill="1" applyBorder="1" applyAlignment="1">
      <alignment horizontal="center"/>
    </xf>
    <xf numFmtId="173" fontId="6" fillId="0" borderId="12" xfId="61" applyNumberFormat="1" applyFont="1" applyFill="1" applyBorder="1" applyAlignment="1">
      <alignment/>
    </xf>
    <xf numFmtId="0" fontId="0" fillId="0" borderId="12" xfId="0" applyBorder="1" applyAlignment="1">
      <alignment/>
    </xf>
    <xf numFmtId="179" fontId="6" fillId="34" borderId="10" xfId="61" applyNumberFormat="1" applyFont="1" applyFill="1" applyBorder="1" applyAlignment="1">
      <alignment horizontal="center"/>
    </xf>
    <xf numFmtId="171" fontId="6" fillId="34" borderId="10" xfId="61" applyNumberFormat="1" applyFont="1" applyFill="1" applyBorder="1" applyAlignment="1">
      <alignment horizontal="center"/>
    </xf>
    <xf numFmtId="171" fontId="6" fillId="34" borderId="11" xfId="61" applyNumberFormat="1" applyFont="1" applyFill="1" applyBorder="1" applyAlignment="1">
      <alignment horizontal="center"/>
    </xf>
    <xf numFmtId="10" fontId="6" fillId="34" borderId="10" xfId="56" applyNumberFormat="1" applyFont="1" applyFill="1" applyBorder="1" applyAlignment="1">
      <alignment horizontal="right"/>
    </xf>
    <xf numFmtId="174" fontId="6" fillId="34" borderId="11" xfId="56" applyNumberFormat="1" applyFont="1" applyFill="1" applyBorder="1" applyAlignment="1">
      <alignment horizontal="center"/>
    </xf>
    <xf numFmtId="179" fontId="6" fillId="34" borderId="20" xfId="61" applyNumberFormat="1" applyFont="1" applyFill="1" applyBorder="1" applyAlignment="1">
      <alignment horizontal="center"/>
    </xf>
    <xf numFmtId="179" fontId="6" fillId="34" borderId="10" xfId="61" applyNumberFormat="1" applyFont="1" applyFill="1" applyBorder="1" applyAlignment="1">
      <alignment horizontal="right"/>
    </xf>
    <xf numFmtId="173" fontId="6" fillId="34" borderId="10" xfId="61" applyNumberFormat="1" applyFont="1" applyFill="1" applyBorder="1" applyAlignment="1">
      <alignment horizontal="center"/>
    </xf>
    <xf numFmtId="179" fontId="6" fillId="34" borderId="11" xfId="61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172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96" fontId="4" fillId="0" borderId="0" xfId="56" applyNumberFormat="1" applyFont="1" applyFill="1" applyBorder="1" applyAlignment="1">
      <alignment/>
    </xf>
    <xf numFmtId="197" fontId="4" fillId="0" borderId="16" xfId="61" applyNumberFormat="1" applyFont="1" applyFill="1" applyBorder="1" applyAlignment="1">
      <alignment horizontal="center"/>
    </xf>
    <xf numFmtId="197" fontId="4" fillId="0" borderId="18" xfId="61" applyNumberFormat="1" applyFont="1" applyFill="1" applyBorder="1" applyAlignment="1">
      <alignment horizontal="center"/>
    </xf>
    <xf numFmtId="10" fontId="4" fillId="0" borderId="16" xfId="55" applyNumberFormat="1" applyFont="1" applyFill="1" applyBorder="1" applyAlignment="1">
      <alignment horizontal="center"/>
    </xf>
    <xf numFmtId="173" fontId="4" fillId="0" borderId="16" xfId="61" applyNumberFormat="1" applyFont="1" applyFill="1" applyBorder="1" applyAlignment="1">
      <alignment/>
    </xf>
    <xf numFmtId="173" fontId="4" fillId="0" borderId="18" xfId="61" applyNumberFormat="1" applyFont="1" applyFill="1" applyBorder="1" applyAlignment="1">
      <alignment/>
    </xf>
    <xf numFmtId="189" fontId="0" fillId="0" borderId="0" xfId="55" applyNumberFormat="1" applyFont="1" applyAlignment="1">
      <alignment/>
    </xf>
    <xf numFmtId="173" fontId="4" fillId="0" borderId="19" xfId="61" applyNumberFormat="1" applyFont="1" applyFill="1" applyBorder="1" applyAlignment="1">
      <alignment horizontal="center"/>
    </xf>
    <xf numFmtId="173" fontId="6" fillId="34" borderId="10" xfId="61" applyNumberFormat="1" applyFont="1" applyFill="1" applyBorder="1" applyAlignment="1">
      <alignment horizontal="right"/>
    </xf>
    <xf numFmtId="174" fontId="4" fillId="0" borderId="17" xfId="55" applyNumberFormat="1" applyFont="1" applyFill="1" applyBorder="1" applyAlignment="1">
      <alignment horizontal="center"/>
    </xf>
    <xf numFmtId="10" fontId="6" fillId="0" borderId="10" xfId="55" applyNumberFormat="1" applyFont="1" applyFill="1" applyBorder="1" applyAlignment="1">
      <alignment horizontal="center" vertical="center" wrapText="1"/>
    </xf>
    <xf numFmtId="174" fontId="4" fillId="0" borderId="16" xfId="55" applyNumberFormat="1" applyFont="1" applyFill="1" applyBorder="1" applyAlignment="1">
      <alignment horizontal="center"/>
    </xf>
    <xf numFmtId="174" fontId="4" fillId="0" borderId="18" xfId="55" applyNumberFormat="1" applyFont="1" applyFill="1" applyBorder="1" applyAlignment="1">
      <alignment horizontal="center"/>
    </xf>
    <xf numFmtId="174" fontId="4" fillId="0" borderId="17" xfId="55" applyNumberFormat="1" applyFont="1" applyFill="1" applyBorder="1" applyAlignment="1">
      <alignment horizontal="right"/>
    </xf>
    <xf numFmtId="174" fontId="4" fillId="0" borderId="16" xfId="61" applyNumberFormat="1" applyFont="1" applyFill="1" applyBorder="1" applyAlignment="1">
      <alignment/>
    </xf>
    <xf numFmtId="173" fontId="6" fillId="0" borderId="10" xfId="61" applyNumberFormat="1" applyFont="1" applyFill="1" applyBorder="1" applyAlignment="1">
      <alignment/>
    </xf>
    <xf numFmtId="174" fontId="6" fillId="34" borderId="10" xfId="55" applyNumberFormat="1" applyFont="1" applyFill="1" applyBorder="1" applyAlignment="1">
      <alignment horizontal="center"/>
    </xf>
    <xf numFmtId="10" fontId="6" fillId="34" borderId="10" xfId="55" applyNumberFormat="1" applyFont="1" applyFill="1" applyBorder="1" applyAlignment="1">
      <alignment horizontal="center"/>
    </xf>
    <xf numFmtId="174" fontId="4" fillId="0" borderId="10" xfId="56" applyNumberFormat="1" applyFont="1" applyFill="1" applyBorder="1" applyAlignment="1">
      <alignment horizontal="center"/>
    </xf>
    <xf numFmtId="174" fontId="6" fillId="34" borderId="11" xfId="55" applyNumberFormat="1" applyFont="1" applyFill="1" applyBorder="1" applyAlignment="1">
      <alignment horizontal="center"/>
    </xf>
    <xf numFmtId="174" fontId="4" fillId="0" borderId="16" xfId="56" applyNumberFormat="1" applyFont="1" applyFill="1" applyBorder="1" applyAlignment="1">
      <alignment horizontal="center"/>
    </xf>
    <xf numFmtId="174" fontId="6" fillId="34" borderId="10" xfId="56" applyNumberFormat="1" applyFont="1" applyFill="1" applyBorder="1" applyAlignment="1">
      <alignment horizontal="center"/>
    </xf>
    <xf numFmtId="180" fontId="4" fillId="0" borderId="16" xfId="61" applyNumberFormat="1" applyFont="1" applyFill="1" applyBorder="1" applyAlignment="1">
      <alignment horizontal="center"/>
    </xf>
    <xf numFmtId="180" fontId="4" fillId="0" borderId="10" xfId="61" applyNumberFormat="1" applyFont="1" applyFill="1" applyBorder="1" applyAlignment="1">
      <alignment horizontal="center"/>
    </xf>
    <xf numFmtId="180" fontId="4" fillId="0" borderId="12" xfId="61" applyNumberFormat="1" applyFont="1" applyFill="1" applyBorder="1" applyAlignment="1">
      <alignment horizontal="center"/>
    </xf>
    <xf numFmtId="1" fontId="4" fillId="0" borderId="10" xfId="61" applyNumberFormat="1" applyFont="1" applyFill="1" applyBorder="1" applyAlignment="1">
      <alignment/>
    </xf>
    <xf numFmtId="1" fontId="4" fillId="0" borderId="12" xfId="61" applyNumberFormat="1" applyFont="1" applyFill="1" applyBorder="1" applyAlignment="1">
      <alignment/>
    </xf>
    <xf numFmtId="1" fontId="4" fillId="0" borderId="16" xfId="61" applyNumberFormat="1" applyFont="1" applyFill="1" applyBorder="1" applyAlignment="1">
      <alignment/>
    </xf>
    <xf numFmtId="0" fontId="6" fillId="31" borderId="11" xfId="0" applyFont="1" applyFill="1" applyBorder="1" applyAlignment="1">
      <alignment horizontal="center"/>
    </xf>
    <xf numFmtId="177" fontId="6" fillId="0" borderId="21" xfId="61" applyNumberFormat="1" applyFont="1" applyFill="1" applyBorder="1" applyAlignment="1">
      <alignment/>
    </xf>
    <xf numFmtId="172" fontId="6" fillId="35" borderId="11" xfId="61" applyNumberFormat="1" applyFont="1" applyFill="1" applyBorder="1" applyAlignment="1">
      <alignment horizontal="center"/>
    </xf>
    <xf numFmtId="171" fontId="7" fillId="0" borderId="21" xfId="61" applyFont="1" applyBorder="1" applyAlignment="1">
      <alignment horizontal="left"/>
    </xf>
    <xf numFmtId="171" fontId="7" fillId="0" borderId="21" xfId="6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31" borderId="20" xfId="0" applyFont="1" applyFill="1" applyBorder="1" applyAlignment="1">
      <alignment horizontal="center"/>
    </xf>
    <xf numFmtId="0" fontId="6" fillId="31" borderId="22" xfId="0" applyFont="1" applyFill="1" applyBorder="1" applyAlignment="1">
      <alignment horizontal="center"/>
    </xf>
    <xf numFmtId="0" fontId="6" fillId="31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45" fillId="31" borderId="12" xfId="0" applyFont="1" applyFill="1" applyBorder="1" applyAlignment="1">
      <alignment horizontal="center" vertical="center" wrapText="1"/>
    </xf>
    <xf numFmtId="0" fontId="45" fillId="31" borderId="18" xfId="0" applyFont="1" applyFill="1" applyBorder="1" applyAlignment="1">
      <alignment horizontal="center" vertical="center" wrapText="1"/>
    </xf>
    <xf numFmtId="0" fontId="45" fillId="31" borderId="1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5" fillId="6" borderId="2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/>
    </xf>
    <xf numFmtId="0" fontId="5" fillId="31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1"/>
  <sheetViews>
    <sheetView tabSelected="1" view="pageBreakPreview" zoomScaleNormal="7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" sqref="C1"/>
    </sheetView>
  </sheetViews>
  <sheetFormatPr defaultColWidth="9.140625" defaultRowHeight="15"/>
  <cols>
    <col min="1" max="1" width="3.00390625" style="0" customWidth="1"/>
    <col min="2" max="2" width="31.28125" style="0" customWidth="1"/>
    <col min="3" max="3" width="24.57421875" style="0" customWidth="1"/>
    <col min="4" max="4" width="19.7109375" style="0" customWidth="1"/>
    <col min="5" max="5" width="15.57421875" style="0" customWidth="1"/>
    <col min="6" max="6" width="16.28125" style="0" customWidth="1"/>
    <col min="7" max="7" width="14.7109375" style="0" customWidth="1"/>
    <col min="8" max="8" width="14.140625" style="0" customWidth="1"/>
    <col min="9" max="9" width="17.7109375" style="0" customWidth="1"/>
    <col min="10" max="10" width="17.28125" style="0" customWidth="1"/>
    <col min="11" max="11" width="14.57421875" style="0" customWidth="1"/>
    <col min="12" max="12" width="15.57421875" style="0" customWidth="1"/>
    <col min="13" max="13" width="17.7109375" style="0" customWidth="1"/>
    <col min="14" max="14" width="18.140625" style="0" customWidth="1"/>
    <col min="15" max="15" width="13.28125" style="0" customWidth="1"/>
    <col min="16" max="16" width="10.421875" style="0" customWidth="1"/>
    <col min="17" max="17" width="13.28125" style="0" customWidth="1"/>
    <col min="18" max="18" width="15.421875" style="0" customWidth="1"/>
    <col min="19" max="19" width="13.57421875" style="0" customWidth="1"/>
    <col min="20" max="20" width="11.57421875" style="0" customWidth="1"/>
    <col min="21" max="21" width="16.140625" style="0" customWidth="1"/>
    <col min="22" max="22" width="13.421875" style="0" customWidth="1"/>
    <col min="23" max="23" width="15.57421875" style="0" customWidth="1"/>
    <col min="24" max="24" width="13.7109375" style="0" customWidth="1"/>
    <col min="25" max="25" width="21.8515625" style="0" customWidth="1"/>
    <col min="26" max="26" width="24.28125" style="0" customWidth="1"/>
    <col min="27" max="27" width="23.421875" style="0" customWidth="1"/>
    <col min="28" max="28" width="14.140625" style="0" customWidth="1"/>
    <col min="29" max="29" width="22.57421875" style="0" customWidth="1"/>
    <col min="30" max="30" width="22.421875" style="0" customWidth="1"/>
    <col min="31" max="31" width="20.7109375" style="0" customWidth="1"/>
    <col min="32" max="32" width="18.7109375" style="0" customWidth="1"/>
    <col min="33" max="33" width="19.00390625" style="0" customWidth="1"/>
    <col min="34" max="34" width="20.421875" style="0" customWidth="1"/>
    <col min="35" max="35" width="19.140625" style="0" customWidth="1"/>
    <col min="36" max="36" width="18.7109375" style="0" customWidth="1"/>
    <col min="37" max="37" width="22.7109375" style="0" customWidth="1"/>
    <col min="38" max="38" width="26.7109375" style="0" customWidth="1"/>
    <col min="39" max="39" width="23.57421875" style="0" customWidth="1"/>
    <col min="40" max="40" width="20.57421875" style="0" customWidth="1"/>
    <col min="41" max="41" width="22.28125" style="0" customWidth="1"/>
    <col min="42" max="42" width="24.7109375" style="0" customWidth="1"/>
    <col min="43" max="43" width="22.57421875" style="0" customWidth="1"/>
    <col min="44" max="44" width="17.7109375" style="0" customWidth="1"/>
    <col min="45" max="45" width="22.421875" style="0" customWidth="1"/>
    <col min="46" max="46" width="20.28125" style="0" customWidth="1"/>
    <col min="47" max="47" width="24.57421875" style="0" customWidth="1"/>
    <col min="48" max="48" width="15.7109375" style="0" customWidth="1"/>
    <col min="49" max="49" width="24.7109375" style="0" customWidth="1"/>
    <col min="50" max="50" width="19.421875" style="0" customWidth="1"/>
    <col min="51" max="51" width="18.57421875" style="0" customWidth="1"/>
    <col min="52" max="52" width="16.8515625" style="0" customWidth="1"/>
    <col min="53" max="53" width="16.7109375" style="0" customWidth="1"/>
    <col min="54" max="54" width="16.421875" style="0" customWidth="1"/>
    <col min="55" max="55" width="35.00390625" style="0" customWidth="1"/>
    <col min="56" max="56" width="17.7109375" style="0" customWidth="1"/>
    <col min="57" max="57" width="21.421875" style="0" customWidth="1"/>
    <col min="58" max="58" width="18.7109375" style="0" customWidth="1"/>
    <col min="59" max="59" width="20.7109375" style="0" customWidth="1"/>
    <col min="60" max="60" width="12.7109375" style="0" customWidth="1"/>
    <col min="61" max="61" width="16.7109375" style="0" customWidth="1"/>
    <col min="62" max="62" width="17.140625" style="0" customWidth="1"/>
    <col min="63" max="64" width="16.7109375" style="0" customWidth="1"/>
    <col min="65" max="65" width="17.8515625" style="0" customWidth="1"/>
    <col min="66" max="66" width="13.57421875" style="0" customWidth="1"/>
    <col min="67" max="67" width="17.28125" style="0" customWidth="1"/>
    <col min="68" max="68" width="16.8515625" style="0" customWidth="1"/>
    <col min="69" max="69" width="16.28125" style="0" customWidth="1"/>
    <col min="70" max="70" width="19.7109375" style="0" customWidth="1"/>
    <col min="71" max="71" width="22.00390625" style="0" customWidth="1"/>
    <col min="72" max="72" width="15.28125" style="0" customWidth="1"/>
    <col min="73" max="73" width="13.8515625" style="0" customWidth="1"/>
    <col min="74" max="74" width="13.7109375" style="0" customWidth="1"/>
    <col min="75" max="75" width="18.28125" style="0" customWidth="1"/>
    <col min="76" max="76" width="15.7109375" style="0" customWidth="1"/>
    <col min="77" max="77" width="23.7109375" style="0" customWidth="1"/>
    <col min="78" max="78" width="16.57421875" style="0" customWidth="1"/>
    <col min="79" max="79" width="22.28125" style="0" customWidth="1"/>
    <col min="80" max="80" width="16.28125" style="0" customWidth="1"/>
    <col min="81" max="81" width="7.7109375" style="0" customWidth="1"/>
    <col min="82" max="82" width="16.28125" style="0" customWidth="1"/>
    <col min="83" max="83" width="13.8515625" style="0" hidden="1" customWidth="1"/>
  </cols>
  <sheetData>
    <row r="1" spans="2:76" s="1" customFormat="1" ht="12" customHeight="1">
      <c r="B1" s="126"/>
      <c r="C1" s="125" t="s">
        <v>182</v>
      </c>
      <c r="D1" s="125"/>
      <c r="E1" s="125"/>
      <c r="F1" s="125"/>
      <c r="G1" s="2"/>
      <c r="M1" s="2"/>
      <c r="N1" s="2"/>
      <c r="O1" s="2"/>
      <c r="P1" s="2"/>
      <c r="Y1" s="2"/>
      <c r="Z1" s="2"/>
      <c r="AA1" s="2"/>
      <c r="AB1" s="2"/>
      <c r="AO1" s="2"/>
      <c r="AP1" s="2"/>
      <c r="AS1" s="2"/>
      <c r="AT1" s="2"/>
      <c r="AU1" s="2"/>
      <c r="AV1" s="2"/>
      <c r="AX1" s="3"/>
      <c r="AY1" s="3"/>
      <c r="AZ1" s="3"/>
      <c r="BA1" s="3"/>
      <c r="BB1" s="3"/>
      <c r="BC1" s="2"/>
      <c r="BD1" s="2"/>
      <c r="BS1" s="4"/>
      <c r="BT1" s="5"/>
      <c r="BV1" s="4"/>
      <c r="BW1" s="4"/>
      <c r="BX1" s="5"/>
    </row>
    <row r="2" spans="1:83" ht="99" customHeight="1">
      <c r="A2" s="143" t="s">
        <v>186</v>
      </c>
      <c r="B2" s="144"/>
      <c r="C2" s="140" t="s">
        <v>152</v>
      </c>
      <c r="D2" s="142"/>
      <c r="E2" s="142"/>
      <c r="F2" s="141"/>
      <c r="G2" s="140" t="s">
        <v>1</v>
      </c>
      <c r="H2" s="141"/>
      <c r="I2" s="140" t="s">
        <v>154</v>
      </c>
      <c r="J2" s="142"/>
      <c r="K2" s="142"/>
      <c r="L2" s="141"/>
      <c r="M2" s="140" t="s">
        <v>155</v>
      </c>
      <c r="N2" s="142"/>
      <c r="O2" s="142"/>
      <c r="P2" s="141"/>
      <c r="Q2" s="140" t="s">
        <v>3</v>
      </c>
      <c r="R2" s="142"/>
      <c r="S2" s="142"/>
      <c r="T2" s="141"/>
      <c r="U2" s="140" t="s">
        <v>104</v>
      </c>
      <c r="V2" s="142"/>
      <c r="W2" s="142"/>
      <c r="X2" s="141"/>
      <c r="Y2" s="140" t="s">
        <v>4</v>
      </c>
      <c r="Z2" s="142"/>
      <c r="AA2" s="142"/>
      <c r="AB2" s="141"/>
      <c r="AC2" s="140" t="s">
        <v>101</v>
      </c>
      <c r="AD2" s="142"/>
      <c r="AE2" s="142"/>
      <c r="AF2" s="141"/>
      <c r="AG2" s="140" t="s">
        <v>156</v>
      </c>
      <c r="AH2" s="142"/>
      <c r="AI2" s="142"/>
      <c r="AJ2" s="141"/>
      <c r="AK2" s="140" t="s">
        <v>68</v>
      </c>
      <c r="AL2" s="142"/>
      <c r="AM2" s="140" t="s">
        <v>165</v>
      </c>
      <c r="AN2" s="141"/>
      <c r="AO2" s="140" t="s">
        <v>167</v>
      </c>
      <c r="AP2" s="142"/>
      <c r="AQ2" s="142"/>
      <c r="AR2" s="141"/>
      <c r="AS2" s="140" t="s">
        <v>157</v>
      </c>
      <c r="AT2" s="149"/>
      <c r="AU2" s="149"/>
      <c r="AV2" s="150"/>
      <c r="AW2" s="140" t="s">
        <v>158</v>
      </c>
      <c r="AX2" s="141"/>
      <c r="AY2" s="140" t="s">
        <v>5</v>
      </c>
      <c r="AZ2" s="142"/>
      <c r="BA2" s="142"/>
      <c r="BB2" s="141"/>
      <c r="BC2" s="140" t="s">
        <v>6</v>
      </c>
      <c r="BD2" s="141"/>
      <c r="BE2" s="140" t="s">
        <v>7</v>
      </c>
      <c r="BF2" s="142"/>
      <c r="BG2" s="142"/>
      <c r="BH2" s="141"/>
      <c r="BI2" s="140" t="s">
        <v>159</v>
      </c>
      <c r="BJ2" s="142"/>
      <c r="BK2" s="142"/>
      <c r="BL2" s="142"/>
      <c r="BM2" s="142"/>
      <c r="BN2" s="141"/>
      <c r="BO2" s="140" t="s">
        <v>160</v>
      </c>
      <c r="BP2" s="142"/>
      <c r="BQ2" s="142"/>
      <c r="BR2" s="141"/>
      <c r="BS2" s="140" t="s">
        <v>147</v>
      </c>
      <c r="BT2" s="141"/>
      <c r="BU2" s="140" t="s">
        <v>8</v>
      </c>
      <c r="BV2" s="142"/>
      <c r="BW2" s="142"/>
      <c r="BX2" s="141"/>
      <c r="BY2" s="140" t="s">
        <v>148</v>
      </c>
      <c r="BZ2" s="141"/>
      <c r="CA2" s="140" t="s">
        <v>149</v>
      </c>
      <c r="CB2" s="141"/>
      <c r="CC2" s="132" t="s">
        <v>9</v>
      </c>
      <c r="CD2" s="135" t="s">
        <v>185</v>
      </c>
      <c r="CE2" s="152" t="s">
        <v>183</v>
      </c>
    </row>
    <row r="3" spans="1:83" ht="12.75" customHeight="1">
      <c r="A3" s="145"/>
      <c r="B3" s="146"/>
      <c r="C3" s="129" t="s">
        <v>43</v>
      </c>
      <c r="D3" s="130"/>
      <c r="E3" s="130"/>
      <c r="F3" s="131"/>
      <c r="G3" s="129" t="s">
        <v>45</v>
      </c>
      <c r="H3" s="131"/>
      <c r="I3" s="129" t="s">
        <v>47</v>
      </c>
      <c r="J3" s="130"/>
      <c r="K3" s="130"/>
      <c r="L3" s="131"/>
      <c r="M3" s="129" t="s">
        <v>49</v>
      </c>
      <c r="N3" s="130"/>
      <c r="O3" s="130"/>
      <c r="P3" s="131"/>
      <c r="Q3" s="129" t="s">
        <v>51</v>
      </c>
      <c r="R3" s="130"/>
      <c r="S3" s="130"/>
      <c r="T3" s="131"/>
      <c r="U3" s="129" t="s">
        <v>53</v>
      </c>
      <c r="V3" s="130"/>
      <c r="W3" s="130"/>
      <c r="X3" s="131"/>
      <c r="Y3" s="129" t="s">
        <v>57</v>
      </c>
      <c r="Z3" s="130"/>
      <c r="AA3" s="130"/>
      <c r="AB3" s="131"/>
      <c r="AC3" s="129" t="s">
        <v>59</v>
      </c>
      <c r="AD3" s="130"/>
      <c r="AE3" s="130"/>
      <c r="AF3" s="131"/>
      <c r="AG3" s="129" t="s">
        <v>65</v>
      </c>
      <c r="AH3" s="130"/>
      <c r="AI3" s="130"/>
      <c r="AJ3" s="131"/>
      <c r="AK3" s="129" t="s">
        <v>69</v>
      </c>
      <c r="AL3" s="130"/>
      <c r="AM3" s="129" t="s">
        <v>71</v>
      </c>
      <c r="AN3" s="131"/>
      <c r="AO3" s="129" t="s">
        <v>72</v>
      </c>
      <c r="AP3" s="130"/>
      <c r="AQ3" s="130"/>
      <c r="AR3" s="131"/>
      <c r="AS3" s="129" t="s">
        <v>75</v>
      </c>
      <c r="AT3" s="130"/>
      <c r="AU3" s="130"/>
      <c r="AV3" s="131"/>
      <c r="AW3" s="153" t="s">
        <v>78</v>
      </c>
      <c r="AX3" s="154"/>
      <c r="AY3" s="129" t="s">
        <v>80</v>
      </c>
      <c r="AZ3" s="130"/>
      <c r="BA3" s="130"/>
      <c r="BB3" s="131"/>
      <c r="BC3" s="129" t="s">
        <v>82</v>
      </c>
      <c r="BD3" s="131"/>
      <c r="BE3" s="129" t="s">
        <v>84</v>
      </c>
      <c r="BF3" s="130"/>
      <c r="BG3" s="130"/>
      <c r="BH3" s="131"/>
      <c r="BI3" s="129" t="s">
        <v>92</v>
      </c>
      <c r="BJ3" s="130"/>
      <c r="BK3" s="130"/>
      <c r="BL3" s="130"/>
      <c r="BM3" s="130"/>
      <c r="BN3" s="130"/>
      <c r="BO3" s="130" t="s">
        <v>86</v>
      </c>
      <c r="BP3" s="130"/>
      <c r="BQ3" s="130"/>
      <c r="BR3" s="131"/>
      <c r="BS3" s="129" t="s">
        <v>93</v>
      </c>
      <c r="BT3" s="131"/>
      <c r="BU3" s="129" t="s">
        <v>95</v>
      </c>
      <c r="BV3" s="130"/>
      <c r="BW3" s="130"/>
      <c r="BX3" s="131"/>
      <c r="BY3" s="129" t="s">
        <v>97</v>
      </c>
      <c r="BZ3" s="131"/>
      <c r="CA3" s="129" t="s">
        <v>99</v>
      </c>
      <c r="CB3" s="131"/>
      <c r="CC3" s="133"/>
      <c r="CD3" s="136"/>
      <c r="CE3" s="152"/>
    </row>
    <row r="4" spans="1:83" ht="215.25" customHeight="1">
      <c r="A4" s="147"/>
      <c r="B4" s="148"/>
      <c r="C4" s="8" t="s">
        <v>184</v>
      </c>
      <c r="D4" s="10" t="s">
        <v>11</v>
      </c>
      <c r="E4" s="8" t="s">
        <v>0</v>
      </c>
      <c r="F4" s="9" t="s">
        <v>10</v>
      </c>
      <c r="G4" s="8" t="s">
        <v>1</v>
      </c>
      <c r="H4" s="9" t="s">
        <v>46</v>
      </c>
      <c r="I4" s="11" t="s">
        <v>141</v>
      </c>
      <c r="J4" s="8" t="s">
        <v>142</v>
      </c>
      <c r="K4" s="8" t="s">
        <v>12</v>
      </c>
      <c r="L4" s="9" t="s">
        <v>48</v>
      </c>
      <c r="M4" s="8" t="s">
        <v>13</v>
      </c>
      <c r="N4" s="12" t="s">
        <v>14</v>
      </c>
      <c r="O4" s="8" t="s">
        <v>2</v>
      </c>
      <c r="P4" s="9" t="s">
        <v>50</v>
      </c>
      <c r="Q4" s="8" t="s">
        <v>15</v>
      </c>
      <c r="R4" s="8" t="s">
        <v>16</v>
      </c>
      <c r="S4" s="11" t="s">
        <v>3</v>
      </c>
      <c r="T4" s="9" t="s">
        <v>52</v>
      </c>
      <c r="U4" s="8" t="s">
        <v>103</v>
      </c>
      <c r="V4" s="8" t="s">
        <v>54</v>
      </c>
      <c r="W4" s="8" t="s">
        <v>104</v>
      </c>
      <c r="X4" s="9" t="s">
        <v>55</v>
      </c>
      <c r="Y4" s="8" t="s">
        <v>17</v>
      </c>
      <c r="Z4" s="10" t="s">
        <v>18</v>
      </c>
      <c r="AA4" s="10" t="s">
        <v>4</v>
      </c>
      <c r="AB4" s="9" t="s">
        <v>58</v>
      </c>
      <c r="AC4" s="8" t="s">
        <v>61</v>
      </c>
      <c r="AD4" s="8" t="s">
        <v>62</v>
      </c>
      <c r="AE4" s="8" t="s">
        <v>143</v>
      </c>
      <c r="AF4" s="9" t="s">
        <v>60</v>
      </c>
      <c r="AG4" s="8" t="s">
        <v>144</v>
      </c>
      <c r="AH4" s="8" t="s">
        <v>67</v>
      </c>
      <c r="AI4" s="8" t="s">
        <v>64</v>
      </c>
      <c r="AJ4" s="9" t="s">
        <v>66</v>
      </c>
      <c r="AK4" s="8" t="s">
        <v>68</v>
      </c>
      <c r="AL4" s="9" t="s">
        <v>70</v>
      </c>
      <c r="AM4" s="8" t="s">
        <v>166</v>
      </c>
      <c r="AN4" s="9" t="s">
        <v>90</v>
      </c>
      <c r="AO4" s="8" t="s">
        <v>168</v>
      </c>
      <c r="AP4" s="10" t="s">
        <v>169</v>
      </c>
      <c r="AQ4" s="8" t="s">
        <v>170</v>
      </c>
      <c r="AR4" s="9" t="s">
        <v>73</v>
      </c>
      <c r="AS4" s="8" t="s">
        <v>171</v>
      </c>
      <c r="AT4" s="10" t="s">
        <v>145</v>
      </c>
      <c r="AU4" s="8" t="s">
        <v>77</v>
      </c>
      <c r="AV4" s="9" t="s">
        <v>76</v>
      </c>
      <c r="AW4" s="8" t="s">
        <v>172</v>
      </c>
      <c r="AX4" s="9" t="s">
        <v>79</v>
      </c>
      <c r="AY4" s="8" t="s">
        <v>19</v>
      </c>
      <c r="AZ4" s="10" t="s">
        <v>20</v>
      </c>
      <c r="BA4" s="8" t="s">
        <v>5</v>
      </c>
      <c r="BB4" s="9" t="s">
        <v>81</v>
      </c>
      <c r="BC4" s="8" t="s">
        <v>6</v>
      </c>
      <c r="BD4" s="9" t="s">
        <v>83</v>
      </c>
      <c r="BE4" s="8" t="s">
        <v>173</v>
      </c>
      <c r="BF4" s="10" t="s">
        <v>174</v>
      </c>
      <c r="BG4" s="10" t="s">
        <v>7</v>
      </c>
      <c r="BH4" s="9" t="s">
        <v>85</v>
      </c>
      <c r="BI4" s="10" t="s">
        <v>175</v>
      </c>
      <c r="BJ4" s="10" t="s">
        <v>176</v>
      </c>
      <c r="BK4" s="10" t="s">
        <v>177</v>
      </c>
      <c r="BL4" s="10" t="s">
        <v>178</v>
      </c>
      <c r="BM4" s="10" t="s">
        <v>140</v>
      </c>
      <c r="BN4" s="9" t="s">
        <v>91</v>
      </c>
      <c r="BO4" s="8" t="s">
        <v>179</v>
      </c>
      <c r="BP4" s="8" t="s">
        <v>146</v>
      </c>
      <c r="BQ4" s="8" t="s">
        <v>87</v>
      </c>
      <c r="BR4" s="9" t="s">
        <v>88</v>
      </c>
      <c r="BS4" s="8" t="s">
        <v>180</v>
      </c>
      <c r="BT4" s="9" t="s">
        <v>94</v>
      </c>
      <c r="BU4" s="8" t="s">
        <v>21</v>
      </c>
      <c r="BV4" s="10" t="s">
        <v>22</v>
      </c>
      <c r="BW4" s="10" t="s">
        <v>23</v>
      </c>
      <c r="BX4" s="9" t="s">
        <v>96</v>
      </c>
      <c r="BY4" s="8" t="s">
        <v>181</v>
      </c>
      <c r="BZ4" s="9" t="s">
        <v>98</v>
      </c>
      <c r="CA4" s="13" t="s">
        <v>149</v>
      </c>
      <c r="CB4" s="14" t="s">
        <v>100</v>
      </c>
      <c r="CC4" s="133"/>
      <c r="CD4" s="136"/>
      <c r="CE4" s="152"/>
    </row>
    <row r="5" spans="1:83" ht="26.25" customHeight="1">
      <c r="A5" s="128" t="s">
        <v>161</v>
      </c>
      <c r="B5" s="128"/>
      <c r="C5" s="6"/>
      <c r="D5" s="6"/>
      <c r="E5" s="6"/>
      <c r="F5" s="14" t="s">
        <v>44</v>
      </c>
      <c r="G5" s="6"/>
      <c r="H5" s="14" t="s">
        <v>26</v>
      </c>
      <c r="I5" s="6"/>
      <c r="J5" s="6"/>
      <c r="K5" s="6"/>
      <c r="L5" s="14" t="s">
        <v>25</v>
      </c>
      <c r="M5" s="6"/>
      <c r="N5" s="6"/>
      <c r="O5" s="6"/>
      <c r="P5" s="14" t="s">
        <v>27</v>
      </c>
      <c r="Q5" s="6"/>
      <c r="R5" s="6"/>
      <c r="S5" s="6"/>
      <c r="T5" s="14" t="s">
        <v>150</v>
      </c>
      <c r="U5" s="15"/>
      <c r="V5" s="15"/>
      <c r="W5" s="15"/>
      <c r="X5" s="14" t="s">
        <v>151</v>
      </c>
      <c r="Y5" s="6"/>
      <c r="Z5" s="15"/>
      <c r="AA5" s="6"/>
      <c r="AB5" s="14" t="s">
        <v>56</v>
      </c>
      <c r="AC5" s="15"/>
      <c r="AD5" s="15"/>
      <c r="AE5" s="15"/>
      <c r="AF5" s="14" t="s">
        <v>63</v>
      </c>
      <c r="AG5" s="6"/>
      <c r="AH5" s="6"/>
      <c r="AI5" s="6"/>
      <c r="AJ5" s="14" t="s">
        <v>162</v>
      </c>
      <c r="AK5" s="14"/>
      <c r="AL5" s="14" t="s">
        <v>24</v>
      </c>
      <c r="AM5" s="6"/>
      <c r="AN5" s="14">
        <v>0</v>
      </c>
      <c r="AO5" s="6"/>
      <c r="AP5" s="6"/>
      <c r="AQ5" s="6"/>
      <c r="AR5" s="14" t="s">
        <v>74</v>
      </c>
      <c r="AS5" s="6"/>
      <c r="AT5" s="6"/>
      <c r="AU5" s="6"/>
      <c r="AV5" s="14" t="s">
        <v>28</v>
      </c>
      <c r="AW5" s="6"/>
      <c r="AX5" s="14">
        <v>1</v>
      </c>
      <c r="AY5" s="6"/>
      <c r="AZ5" s="6"/>
      <c r="BA5" s="6"/>
      <c r="BB5" s="14">
        <v>2</v>
      </c>
      <c r="BC5" s="6"/>
      <c r="BD5" s="14" t="s">
        <v>24</v>
      </c>
      <c r="BE5" s="6"/>
      <c r="BF5" s="6"/>
      <c r="BG5" s="6"/>
      <c r="BH5" s="14">
        <v>0</v>
      </c>
      <c r="BI5" s="6"/>
      <c r="BJ5" s="6"/>
      <c r="BK5" s="104"/>
      <c r="BL5" s="6"/>
      <c r="BM5" s="6"/>
      <c r="BN5" s="14" t="s">
        <v>102</v>
      </c>
      <c r="BO5" s="6"/>
      <c r="BP5" s="6"/>
      <c r="BQ5" s="6"/>
      <c r="BR5" s="14" t="s">
        <v>89</v>
      </c>
      <c r="BS5" s="6"/>
      <c r="BT5" s="14" t="s">
        <v>24</v>
      </c>
      <c r="BU5" s="6"/>
      <c r="BV5" s="6"/>
      <c r="BW5" s="6"/>
      <c r="BX5" s="14" t="s">
        <v>24</v>
      </c>
      <c r="BY5" s="6"/>
      <c r="BZ5" s="14" t="s">
        <v>24</v>
      </c>
      <c r="CA5" s="6"/>
      <c r="CB5" s="14" t="s">
        <v>24</v>
      </c>
      <c r="CC5" s="134"/>
      <c r="CD5" s="137"/>
      <c r="CE5" s="6"/>
    </row>
    <row r="6" spans="1:83" ht="12.75" customHeight="1">
      <c r="A6" s="151" t="s">
        <v>29</v>
      </c>
      <c r="B6" s="151"/>
      <c r="C6" s="16" t="s">
        <v>31</v>
      </c>
      <c r="D6" s="16" t="s">
        <v>31</v>
      </c>
      <c r="E6" s="17" t="s">
        <v>32</v>
      </c>
      <c r="F6" s="16" t="s">
        <v>30</v>
      </c>
      <c r="G6" s="16" t="s">
        <v>33</v>
      </c>
      <c r="H6" s="16" t="s">
        <v>30</v>
      </c>
      <c r="I6" s="16" t="s">
        <v>31</v>
      </c>
      <c r="J6" s="16" t="s">
        <v>31</v>
      </c>
      <c r="K6" s="16" t="s">
        <v>32</v>
      </c>
      <c r="L6" s="16" t="s">
        <v>30</v>
      </c>
      <c r="M6" s="16" t="s">
        <v>31</v>
      </c>
      <c r="N6" s="16" t="s">
        <v>31</v>
      </c>
      <c r="O6" s="16"/>
      <c r="P6" s="16" t="s">
        <v>30</v>
      </c>
      <c r="Q6" s="16" t="s">
        <v>33</v>
      </c>
      <c r="R6" s="16" t="s">
        <v>33</v>
      </c>
      <c r="S6" s="16"/>
      <c r="T6" s="16" t="s">
        <v>30</v>
      </c>
      <c r="U6" s="16" t="s">
        <v>33</v>
      </c>
      <c r="V6" s="16" t="s">
        <v>33</v>
      </c>
      <c r="W6" s="16"/>
      <c r="X6" s="16" t="s">
        <v>30</v>
      </c>
      <c r="Y6" s="16" t="s">
        <v>33</v>
      </c>
      <c r="Z6" s="16" t="s">
        <v>33</v>
      </c>
      <c r="AA6" s="16"/>
      <c r="AB6" s="16" t="s">
        <v>30</v>
      </c>
      <c r="AC6" s="16" t="s">
        <v>31</v>
      </c>
      <c r="AD6" s="16" t="s">
        <v>31</v>
      </c>
      <c r="AE6" s="16"/>
      <c r="AF6" s="16" t="s">
        <v>30</v>
      </c>
      <c r="AG6" s="16" t="s">
        <v>31</v>
      </c>
      <c r="AH6" s="16" t="s">
        <v>31</v>
      </c>
      <c r="AI6" s="16"/>
      <c r="AJ6" s="16" t="s">
        <v>30</v>
      </c>
      <c r="AK6" s="16"/>
      <c r="AL6" s="16" t="s">
        <v>30</v>
      </c>
      <c r="AM6" s="16" t="s">
        <v>31</v>
      </c>
      <c r="AN6" s="16" t="s">
        <v>30</v>
      </c>
      <c r="AO6" s="16" t="s">
        <v>31</v>
      </c>
      <c r="AP6" s="16" t="s">
        <v>31</v>
      </c>
      <c r="AQ6" s="16"/>
      <c r="AR6" s="16" t="s">
        <v>30</v>
      </c>
      <c r="AS6" s="16" t="s">
        <v>31</v>
      </c>
      <c r="AT6" s="16" t="s">
        <v>31</v>
      </c>
      <c r="AU6" s="16"/>
      <c r="AV6" s="16" t="s">
        <v>30</v>
      </c>
      <c r="AW6" s="16" t="s">
        <v>31</v>
      </c>
      <c r="AX6" s="16" t="s">
        <v>30</v>
      </c>
      <c r="AY6" s="16"/>
      <c r="AZ6" s="16"/>
      <c r="BA6" s="16"/>
      <c r="BB6" s="16" t="s">
        <v>30</v>
      </c>
      <c r="BC6" s="16"/>
      <c r="BD6" s="16" t="s">
        <v>30</v>
      </c>
      <c r="BE6" s="16" t="s">
        <v>31</v>
      </c>
      <c r="BF6" s="16" t="s">
        <v>31</v>
      </c>
      <c r="BG6" s="16"/>
      <c r="BH6" s="16" t="s">
        <v>30</v>
      </c>
      <c r="BI6" s="16" t="s">
        <v>31</v>
      </c>
      <c r="BJ6" s="16" t="s">
        <v>31</v>
      </c>
      <c r="BK6" s="16" t="s">
        <v>31</v>
      </c>
      <c r="BL6" s="16" t="s">
        <v>31</v>
      </c>
      <c r="BM6" s="16"/>
      <c r="BN6" s="16"/>
      <c r="BO6" s="16" t="s">
        <v>31</v>
      </c>
      <c r="BP6" s="16" t="s">
        <v>31</v>
      </c>
      <c r="BQ6" s="16"/>
      <c r="BR6" s="16" t="s">
        <v>30</v>
      </c>
      <c r="BS6" s="16"/>
      <c r="BT6" s="16" t="s">
        <v>30</v>
      </c>
      <c r="BU6" s="16"/>
      <c r="BV6" s="16"/>
      <c r="BW6" s="16"/>
      <c r="BX6" s="16" t="s">
        <v>30</v>
      </c>
      <c r="BY6" s="16"/>
      <c r="BZ6" s="16" t="s">
        <v>30</v>
      </c>
      <c r="CA6" s="16"/>
      <c r="CB6" s="16" t="s">
        <v>30</v>
      </c>
      <c r="CC6" s="7" t="s">
        <v>30</v>
      </c>
      <c r="CD6" s="122" t="s">
        <v>30</v>
      </c>
      <c r="CE6" s="16" t="s">
        <v>31</v>
      </c>
    </row>
    <row r="7" spans="1:83" ht="12.75" customHeight="1">
      <c r="A7" s="18">
        <v>1</v>
      </c>
      <c r="B7" s="18" t="s">
        <v>108</v>
      </c>
      <c r="C7" s="20">
        <v>12239164206.07</v>
      </c>
      <c r="D7" s="21">
        <v>12363427401.6</v>
      </c>
      <c r="E7" s="108">
        <f>ROUND(C7/D7,3)</f>
        <v>0.99</v>
      </c>
      <c r="F7" s="22">
        <f>IF(E7&gt;=95%,1.5,IF(E7&gt;=90%,1,0))</f>
        <v>1.5</v>
      </c>
      <c r="G7" s="25">
        <v>8</v>
      </c>
      <c r="H7" s="22">
        <f aca="true" t="shared" si="0" ref="H7:H17">IF(G7&lt;=4,1,0)</f>
        <v>0</v>
      </c>
      <c r="I7" s="23">
        <v>3095796182.29</v>
      </c>
      <c r="J7" s="24">
        <v>3077036119</v>
      </c>
      <c r="K7" s="112">
        <f>ROUND(I7/J7,3)</f>
        <v>1.006</v>
      </c>
      <c r="L7" s="22">
        <f>IF(K7&gt;=100%,1,0)</f>
        <v>1</v>
      </c>
      <c r="M7" s="20">
        <v>3095796182.29</v>
      </c>
      <c r="N7" s="21">
        <v>3150224000</v>
      </c>
      <c r="O7" s="26">
        <f>ABS(M7-N7)/N7</f>
        <v>0.01727744367067232</v>
      </c>
      <c r="P7" s="19">
        <f>IF(O7&lt;=0.1,1,0)</f>
        <v>1</v>
      </c>
      <c r="Q7" s="95">
        <v>0</v>
      </c>
      <c r="R7" s="95">
        <v>1</v>
      </c>
      <c r="S7" s="105">
        <f>Q7/R7</f>
        <v>0</v>
      </c>
      <c r="T7" s="22">
        <f>IF(S7&gt;0.75,1,0)</f>
        <v>0</v>
      </c>
      <c r="U7" s="95">
        <v>1</v>
      </c>
      <c r="V7" s="95">
        <v>1</v>
      </c>
      <c r="W7" s="105">
        <f>U7/V7</f>
        <v>1</v>
      </c>
      <c r="X7" s="22">
        <f>IF(W7&gt;0.5,1,0)</f>
        <v>1</v>
      </c>
      <c r="Y7" s="95">
        <v>65</v>
      </c>
      <c r="Z7" s="95">
        <v>117</v>
      </c>
      <c r="AA7" s="105">
        <f>Y7/Z7</f>
        <v>0.5555555555555556</v>
      </c>
      <c r="AB7" s="22">
        <f>IF(AA7&gt;=90%,2,IF(AA7&gt;80%,1,0))</f>
        <v>0</v>
      </c>
      <c r="AC7" s="27">
        <v>41684900</v>
      </c>
      <c r="AD7" s="27">
        <v>10230532927.46</v>
      </c>
      <c r="AE7" s="97">
        <f>AC7/AD7</f>
        <v>0.004074558021128365</v>
      </c>
      <c r="AF7" s="22">
        <f>IF(AE7&gt;0.5,1,0)</f>
        <v>0</v>
      </c>
      <c r="AG7" s="98">
        <v>495176088.09000015</v>
      </c>
      <c r="AH7" s="98">
        <v>12363427401.6</v>
      </c>
      <c r="AI7" s="105">
        <f>ROUND(AG7/AH7,4)</f>
        <v>0.0401</v>
      </c>
      <c r="AJ7" s="22">
        <f>IF(AI7&lt;=1%,1,IF(AI7&lt;=2%,0.5,0))</f>
        <v>0</v>
      </c>
      <c r="AK7" s="35" t="s">
        <v>105</v>
      </c>
      <c r="AL7" s="19">
        <f>IF(AK7="да",1,0)</f>
        <v>0</v>
      </c>
      <c r="AM7" s="28">
        <v>0</v>
      </c>
      <c r="AN7" s="22">
        <f>IF(AM7=0,3,0)</f>
        <v>3</v>
      </c>
      <c r="AO7" s="23">
        <v>489272019.99999994</v>
      </c>
      <c r="AP7" s="23">
        <v>526237730.0000001</v>
      </c>
      <c r="AQ7" s="97">
        <f>ROUND(AO7/AP7,4)</f>
        <v>0.9298</v>
      </c>
      <c r="AR7" s="22">
        <f>IF(AQ7&lt;1,1,0)</f>
        <v>1</v>
      </c>
      <c r="AS7" s="23">
        <v>3095796182.29</v>
      </c>
      <c r="AT7" s="23">
        <v>3119786960.99</v>
      </c>
      <c r="AU7" s="114">
        <f>ROUND(AS7/AT7,3)</f>
        <v>0.992</v>
      </c>
      <c r="AV7" s="22">
        <f aca="true" t="shared" si="1" ref="AV7:AV37">IF(AU7&gt;=$AU$38,1.5,IF(AU7&lt;=100%,0,1))</f>
        <v>0</v>
      </c>
      <c r="AW7" s="29">
        <v>0</v>
      </c>
      <c r="AX7" s="30">
        <f aca="true" t="shared" si="2" ref="AX7:AX37">IF(AW7=0,1,0)</f>
        <v>1</v>
      </c>
      <c r="AY7" s="31">
        <v>1</v>
      </c>
      <c r="AZ7" s="31">
        <v>1</v>
      </c>
      <c r="BA7" s="121">
        <f>AZ7+AY7</f>
        <v>2</v>
      </c>
      <c r="BB7" s="30">
        <f aca="true" t="shared" si="3" ref="BB7:BB37">BA7</f>
        <v>2</v>
      </c>
      <c r="BC7" s="28" t="s">
        <v>105</v>
      </c>
      <c r="BD7" s="19">
        <f>IF(BC7="да",1,0)</f>
        <v>0</v>
      </c>
      <c r="BE7" s="19">
        <v>0</v>
      </c>
      <c r="BF7" s="32">
        <v>8741558336.93</v>
      </c>
      <c r="BG7" s="116">
        <f>BE7/BF7</f>
        <v>0</v>
      </c>
      <c r="BH7" s="33">
        <f>IF(BG7&gt;0,0,1)</f>
        <v>1</v>
      </c>
      <c r="BI7" s="36">
        <v>936446788.6500002</v>
      </c>
      <c r="BJ7" s="36">
        <v>982794583.1899999</v>
      </c>
      <c r="BK7" s="36">
        <v>810216506.6099997</v>
      </c>
      <c r="BL7" s="36">
        <v>1401922238.130001</v>
      </c>
      <c r="BM7" s="103">
        <f aca="true" t="shared" si="4" ref="BM7:BM37">BL7/((BI7+BJ7+BK7)/3)</f>
        <v>1.5408798749363253</v>
      </c>
      <c r="BN7" s="33">
        <f>IF(BM7&lt;110%,1,0)</f>
        <v>0</v>
      </c>
      <c r="BO7" s="36">
        <v>429031648.62</v>
      </c>
      <c r="BP7" s="36">
        <v>595976703.31</v>
      </c>
      <c r="BQ7" s="107">
        <f>ROUND(BO7/BP7,3)</f>
        <v>0.72</v>
      </c>
      <c r="BR7" s="22">
        <f>IF(BQ7&gt;1,1,0)</f>
        <v>0</v>
      </c>
      <c r="BS7" s="34" t="s">
        <v>24</v>
      </c>
      <c r="BT7" s="19">
        <f>IF(BS7="да",1,0)</f>
        <v>1</v>
      </c>
      <c r="BU7" s="35" t="s">
        <v>24</v>
      </c>
      <c r="BV7" s="35" t="s">
        <v>24</v>
      </c>
      <c r="BW7" s="36" t="s">
        <v>106</v>
      </c>
      <c r="BX7" s="33">
        <f>IF(AND(BU7="да",BV7="да",BW7="да"),1,0)</f>
        <v>0</v>
      </c>
      <c r="BY7" s="35" t="s">
        <v>24</v>
      </c>
      <c r="BZ7" s="22">
        <f>IF(BY7="да",1,0)</f>
        <v>1</v>
      </c>
      <c r="CA7" s="35" t="s">
        <v>24</v>
      </c>
      <c r="CB7" s="22">
        <f>IF(CA7="да",1,0)</f>
        <v>1</v>
      </c>
      <c r="CC7" s="124">
        <f>F7+H7+L7+P7+T7+X7+AB7+AF7+AJ7+AL7+AN7+AR7+AV7+AX7+BB7+BD7+BH7+BN7+BR7+BT7+BX7+BZ7+CB7</f>
        <v>15.5</v>
      </c>
      <c r="CD7" s="123">
        <f>CC7</f>
        <v>15.5</v>
      </c>
      <c r="CE7" s="38" t="e">
        <f>ROUND(#REF!/SUM(#REF!)*4000000,0)</f>
        <v>#REF!</v>
      </c>
    </row>
    <row r="8" spans="1:83" ht="12.75" customHeight="1">
      <c r="A8" s="18">
        <v>2</v>
      </c>
      <c r="B8" s="37" t="s">
        <v>109</v>
      </c>
      <c r="C8" s="39">
        <v>1490794810.1</v>
      </c>
      <c r="D8" s="40">
        <v>1507781068</v>
      </c>
      <c r="E8" s="108">
        <f aca="true" t="shared" si="5" ref="E8:E37">ROUND(C8/D8,3)</f>
        <v>0.989</v>
      </c>
      <c r="F8" s="22">
        <f aca="true" t="shared" si="6" ref="F8:F37">IF(E8&gt;=95%,1.5,IF(E8&gt;=90%,1,0))</f>
        <v>1.5</v>
      </c>
      <c r="G8" s="42">
        <v>12</v>
      </c>
      <c r="H8" s="22">
        <f t="shared" si="0"/>
        <v>0</v>
      </c>
      <c r="I8" s="41">
        <v>558043276.37</v>
      </c>
      <c r="J8" s="24">
        <v>539404137.14</v>
      </c>
      <c r="K8" s="112">
        <f aca="true" t="shared" si="7" ref="K8:K38">ROUND(I8/J8,3)</f>
        <v>1.035</v>
      </c>
      <c r="L8" s="22">
        <f aca="true" t="shared" si="8" ref="L8:L37">IF(K8&gt;=100%,1,0)</f>
        <v>1</v>
      </c>
      <c r="M8" s="39">
        <v>558043276.37</v>
      </c>
      <c r="N8" s="21">
        <v>465291772</v>
      </c>
      <c r="O8" s="26">
        <f aca="true" t="shared" si="9" ref="O8:O38">ABS(M8-N8)/N8</f>
        <v>0.19934052126329027</v>
      </c>
      <c r="P8" s="43">
        <f aca="true" t="shared" si="10" ref="P8:P37">IF(O8&lt;=0.1,1,0)</f>
        <v>0</v>
      </c>
      <c r="Q8" s="95">
        <v>0</v>
      </c>
      <c r="R8" s="95">
        <v>1</v>
      </c>
      <c r="S8" s="105">
        <f aca="true" t="shared" si="11" ref="S8:S37">Q8/R8</f>
        <v>0</v>
      </c>
      <c r="T8" s="22">
        <f aca="true" t="shared" si="12" ref="T8:T37">IF(S8&gt;0.75,1,0)</f>
        <v>0</v>
      </c>
      <c r="U8" s="95">
        <v>1</v>
      </c>
      <c r="V8" s="95">
        <v>1</v>
      </c>
      <c r="W8" s="105">
        <f aca="true" t="shared" si="13" ref="W8:W36">U8/V8</f>
        <v>1</v>
      </c>
      <c r="X8" s="22">
        <f aca="true" t="shared" si="14" ref="X8:X37">IF(W8&gt;0.5,1,0)</f>
        <v>1</v>
      </c>
      <c r="Y8" s="95">
        <v>85</v>
      </c>
      <c r="Z8" s="95">
        <v>117</v>
      </c>
      <c r="AA8" s="105">
        <f aca="true" t="shared" si="15" ref="AA8:AA37">Y8/Z8</f>
        <v>0.7264957264957265</v>
      </c>
      <c r="AB8" s="22">
        <f aca="true" t="shared" si="16" ref="AB8:AB37">IF(AA8&gt;=90%,2,IF(AA8&gt;80%,1,0))</f>
        <v>0</v>
      </c>
      <c r="AC8" s="27">
        <v>4000000</v>
      </c>
      <c r="AD8" s="27">
        <v>1178389242.59</v>
      </c>
      <c r="AE8" s="97">
        <f aca="true" t="shared" si="17" ref="AE8:AE36">AC8/AD8</f>
        <v>0.003394464117143787</v>
      </c>
      <c r="AF8" s="22">
        <f>IF(AE8&gt;0.5,1,0)</f>
        <v>0</v>
      </c>
      <c r="AG8" s="98">
        <v>74031865.86999989</v>
      </c>
      <c r="AH8" s="98">
        <v>1507781068</v>
      </c>
      <c r="AI8" s="105">
        <f aca="true" t="shared" si="18" ref="AI8:AI38">ROUND(AG8/AH8,3)</f>
        <v>0.049</v>
      </c>
      <c r="AJ8" s="22">
        <f aca="true" t="shared" si="19" ref="AJ8:AJ37">IF(AI8&lt;=1%,1,IF(AI8&lt;=2%,0.5,0))</f>
        <v>0</v>
      </c>
      <c r="AK8" s="35" t="s">
        <v>24</v>
      </c>
      <c r="AL8" s="19">
        <f aca="true" t="shared" si="20" ref="AL8:AL37">IF(AK8="да",1,0)</f>
        <v>1</v>
      </c>
      <c r="AM8" s="44">
        <v>0</v>
      </c>
      <c r="AN8" s="22">
        <f aca="true" t="shared" si="21" ref="AN8:AN37">IF(AM8=0,3,0)</f>
        <v>3</v>
      </c>
      <c r="AO8" s="23">
        <v>36608590.00000001</v>
      </c>
      <c r="AP8" s="41">
        <v>36020700</v>
      </c>
      <c r="AQ8" s="97">
        <f aca="true" t="shared" si="22" ref="AQ8:AQ37">ROUND(AO8/AP8,4)</f>
        <v>1.0163</v>
      </c>
      <c r="AR8" s="22">
        <f aca="true" t="shared" si="23" ref="AR8:AR37">IF(AQ8&lt;1,1,0)</f>
        <v>0</v>
      </c>
      <c r="AS8" s="41">
        <v>558043276.37</v>
      </c>
      <c r="AT8" s="41">
        <v>467684311.97</v>
      </c>
      <c r="AU8" s="114">
        <f aca="true" t="shared" si="24" ref="AU8:AU37">ROUND(AS8/AT8,3)</f>
        <v>1.193</v>
      </c>
      <c r="AV8" s="22">
        <f t="shared" si="1"/>
        <v>1.5</v>
      </c>
      <c r="AW8" s="45">
        <v>0</v>
      </c>
      <c r="AX8" s="30">
        <f t="shared" si="2"/>
        <v>1</v>
      </c>
      <c r="AY8" s="31">
        <v>1</v>
      </c>
      <c r="AZ8" s="46">
        <v>1</v>
      </c>
      <c r="BA8" s="119">
        <f aca="true" t="shared" si="25" ref="BA8:BA37">AZ8+AY8</f>
        <v>2</v>
      </c>
      <c r="BB8" s="30">
        <f t="shared" si="3"/>
        <v>2</v>
      </c>
      <c r="BC8" s="44" t="s">
        <v>24</v>
      </c>
      <c r="BD8" s="19">
        <f aca="true" t="shared" si="26" ref="BD8:BD38">IF(BC8="да",1,0)</f>
        <v>1</v>
      </c>
      <c r="BE8" s="19">
        <v>0</v>
      </c>
      <c r="BF8" s="47">
        <v>916444163.88</v>
      </c>
      <c r="BG8" s="117">
        <f aca="true" t="shared" si="27" ref="BG8:BG37">BE8/BF8</f>
        <v>0</v>
      </c>
      <c r="BH8" s="33">
        <f aca="true" t="shared" si="28" ref="BH8:BH37">IF(BG8&gt;0,0,1)</f>
        <v>1</v>
      </c>
      <c r="BI8" s="36">
        <v>106397560.91000001</v>
      </c>
      <c r="BJ8" s="36">
        <v>120946978.08</v>
      </c>
      <c r="BK8" s="36">
        <v>101531354.8900001</v>
      </c>
      <c r="BL8" s="36">
        <v>309183064.37</v>
      </c>
      <c r="BM8" s="103">
        <f t="shared" si="4"/>
        <v>2.820362362735054</v>
      </c>
      <c r="BN8" s="33">
        <f aca="true" t="shared" si="29" ref="BN8:BN37">IF(BM8&lt;110%,1,0)</f>
        <v>0</v>
      </c>
      <c r="BO8" s="36">
        <v>26735750.57</v>
      </c>
      <c r="BP8" s="36">
        <v>42301851.62</v>
      </c>
      <c r="BQ8" s="107">
        <f aca="true" t="shared" si="30" ref="BQ8:BQ37">ROUND(BO8/BP8,3)</f>
        <v>0.632</v>
      </c>
      <c r="BR8" s="22">
        <f aca="true" t="shared" si="31" ref="BR8:BR37">IF(BQ8&gt;1,1,0)</f>
        <v>0</v>
      </c>
      <c r="BS8" s="48" t="s">
        <v>24</v>
      </c>
      <c r="BT8" s="19">
        <f aca="true" t="shared" si="32" ref="BT8:BT38">IF(BS8="да",1,0)</f>
        <v>1</v>
      </c>
      <c r="BU8" s="35" t="s">
        <v>24</v>
      </c>
      <c r="BV8" s="35" t="s">
        <v>24</v>
      </c>
      <c r="BW8" s="36" t="s">
        <v>24</v>
      </c>
      <c r="BX8" s="33">
        <f>IF(AND(BU8="да",BV8="да",BW8="да"),1,0)</f>
        <v>1</v>
      </c>
      <c r="BY8" s="49" t="s">
        <v>24</v>
      </c>
      <c r="BZ8" s="50">
        <f aca="true" t="shared" si="33" ref="BZ8:BZ38">IF(BY8="да",1,0)</f>
        <v>1</v>
      </c>
      <c r="CA8" s="49" t="s">
        <v>24</v>
      </c>
      <c r="CB8" s="50">
        <f aca="true" t="shared" si="34" ref="CB8:CB38">IF(CA8="да",1,0)</f>
        <v>1</v>
      </c>
      <c r="CC8" s="124">
        <f>F8+H8+L8+P8+T8+X8+AB8+AF8+AJ8+AL8+AN8+AR8+AV8+AX8+BB8+BD8+BH8+BN8+BR8+BT8+BX8+BZ8+CB8</f>
        <v>18</v>
      </c>
      <c r="CD8" s="123">
        <f>CC8</f>
        <v>18</v>
      </c>
      <c r="CE8" s="38" t="e">
        <f>ROUND(#REF!/SUM(#REF!)*4000000,0)</f>
        <v>#REF!</v>
      </c>
    </row>
    <row r="9" spans="1:86" ht="12.75" customHeight="1">
      <c r="A9" s="18">
        <v>3</v>
      </c>
      <c r="B9" s="37" t="s">
        <v>110</v>
      </c>
      <c r="C9" s="39">
        <v>1067886992.2</v>
      </c>
      <c r="D9" s="40">
        <v>1075255740.89</v>
      </c>
      <c r="E9" s="108">
        <f t="shared" si="5"/>
        <v>0.993</v>
      </c>
      <c r="F9" s="22">
        <f t="shared" si="6"/>
        <v>1.5</v>
      </c>
      <c r="G9" s="42">
        <v>8</v>
      </c>
      <c r="H9" s="22">
        <f t="shared" si="0"/>
        <v>0</v>
      </c>
      <c r="I9" s="41">
        <v>271667518.01</v>
      </c>
      <c r="J9" s="24">
        <v>271943000</v>
      </c>
      <c r="K9" s="112">
        <f t="shared" si="7"/>
        <v>0.999</v>
      </c>
      <c r="L9" s="22">
        <f t="shared" si="8"/>
        <v>0</v>
      </c>
      <c r="M9" s="39">
        <v>271667518.01</v>
      </c>
      <c r="N9" s="21">
        <v>278723000</v>
      </c>
      <c r="O9" s="26">
        <f t="shared" si="9"/>
        <v>0.025313598052546828</v>
      </c>
      <c r="P9" s="43">
        <f t="shared" si="10"/>
        <v>1</v>
      </c>
      <c r="Q9" s="95">
        <v>1</v>
      </c>
      <c r="R9" s="95">
        <v>1</v>
      </c>
      <c r="S9" s="105">
        <f t="shared" si="11"/>
        <v>1</v>
      </c>
      <c r="T9" s="22">
        <f t="shared" si="12"/>
        <v>1</v>
      </c>
      <c r="U9" s="95">
        <v>1</v>
      </c>
      <c r="V9" s="95">
        <v>1</v>
      </c>
      <c r="W9" s="105">
        <f t="shared" si="13"/>
        <v>1</v>
      </c>
      <c r="X9" s="22">
        <f t="shared" si="14"/>
        <v>1</v>
      </c>
      <c r="Y9" s="95">
        <v>86</v>
      </c>
      <c r="Z9" s="95">
        <v>117</v>
      </c>
      <c r="AA9" s="105">
        <f t="shared" si="15"/>
        <v>0.7350427350427351</v>
      </c>
      <c r="AB9" s="22">
        <f t="shared" si="16"/>
        <v>0</v>
      </c>
      <c r="AC9" s="27">
        <v>400000</v>
      </c>
      <c r="AD9" s="27">
        <v>957946227.12</v>
      </c>
      <c r="AE9" s="97">
        <f t="shared" si="17"/>
        <v>0.00041755997223620026</v>
      </c>
      <c r="AF9" s="22">
        <f>IF(AE9&gt;0.5,1,0)</f>
        <v>0</v>
      </c>
      <c r="AG9" s="98">
        <v>31980986.200000048</v>
      </c>
      <c r="AH9" s="98">
        <v>1075255740.89</v>
      </c>
      <c r="AI9" s="105">
        <f t="shared" si="18"/>
        <v>0.03</v>
      </c>
      <c r="AJ9" s="22">
        <f t="shared" si="19"/>
        <v>0</v>
      </c>
      <c r="AK9" s="35" t="s">
        <v>105</v>
      </c>
      <c r="AL9" s="19">
        <f t="shared" si="20"/>
        <v>0</v>
      </c>
      <c r="AM9" s="44">
        <v>0</v>
      </c>
      <c r="AN9" s="22">
        <f t="shared" si="21"/>
        <v>3</v>
      </c>
      <c r="AO9" s="23">
        <v>91026790</v>
      </c>
      <c r="AP9" s="41">
        <v>49289869.99999999</v>
      </c>
      <c r="AQ9" s="97">
        <f t="shared" si="22"/>
        <v>1.8468</v>
      </c>
      <c r="AR9" s="22">
        <f t="shared" si="23"/>
        <v>0</v>
      </c>
      <c r="AS9" s="41">
        <v>271667518.01</v>
      </c>
      <c r="AT9" s="41">
        <v>298872136.86</v>
      </c>
      <c r="AU9" s="114">
        <f t="shared" si="24"/>
        <v>0.909</v>
      </c>
      <c r="AV9" s="22">
        <f t="shared" si="1"/>
        <v>0</v>
      </c>
      <c r="AW9" s="45">
        <v>0</v>
      </c>
      <c r="AX9" s="30">
        <f t="shared" si="2"/>
        <v>1</v>
      </c>
      <c r="AY9" s="31">
        <v>1</v>
      </c>
      <c r="AZ9" s="46">
        <v>1</v>
      </c>
      <c r="BA9" s="119">
        <f t="shared" si="25"/>
        <v>2</v>
      </c>
      <c r="BB9" s="30">
        <f t="shared" si="3"/>
        <v>2</v>
      </c>
      <c r="BC9" s="44" t="s">
        <v>105</v>
      </c>
      <c r="BD9" s="19">
        <f t="shared" si="26"/>
        <v>0</v>
      </c>
      <c r="BE9" s="19">
        <v>0</v>
      </c>
      <c r="BF9" s="47">
        <v>758185071.07</v>
      </c>
      <c r="BG9" s="117">
        <f t="shared" si="27"/>
        <v>0</v>
      </c>
      <c r="BH9" s="33">
        <f t="shared" si="28"/>
        <v>1</v>
      </c>
      <c r="BI9" s="36">
        <v>121362438.91000001</v>
      </c>
      <c r="BJ9" s="36">
        <v>93673115.96999998</v>
      </c>
      <c r="BK9" s="36">
        <v>82738781.62000006</v>
      </c>
      <c r="BL9" s="36">
        <v>143736947.12000006</v>
      </c>
      <c r="BM9" s="103">
        <f t="shared" si="4"/>
        <v>1.4481128442040878</v>
      </c>
      <c r="BN9" s="33">
        <f t="shared" si="29"/>
        <v>0</v>
      </c>
      <c r="BO9" s="36">
        <v>31380582.39</v>
      </c>
      <c r="BP9" s="36">
        <v>43364295.5</v>
      </c>
      <c r="BQ9" s="107">
        <f t="shared" si="30"/>
        <v>0.724</v>
      </c>
      <c r="BR9" s="22">
        <f t="shared" si="31"/>
        <v>0</v>
      </c>
      <c r="BS9" s="48" t="s">
        <v>24</v>
      </c>
      <c r="BT9" s="19">
        <f t="shared" si="32"/>
        <v>1</v>
      </c>
      <c r="BU9" s="35" t="s">
        <v>24</v>
      </c>
      <c r="BV9" s="35" t="s">
        <v>24</v>
      </c>
      <c r="BW9" s="36" t="s">
        <v>105</v>
      </c>
      <c r="BX9" s="33">
        <f aca="true" t="shared" si="35" ref="BX9:BX37">IF(AND(BU9="да",BV9="да",BW9="да"),1,0)</f>
        <v>0</v>
      </c>
      <c r="BY9" s="49" t="s">
        <v>24</v>
      </c>
      <c r="BZ9" s="50">
        <f t="shared" si="33"/>
        <v>1</v>
      </c>
      <c r="CA9" s="49" t="s">
        <v>24</v>
      </c>
      <c r="CB9" s="50">
        <f t="shared" si="34"/>
        <v>1</v>
      </c>
      <c r="CC9" s="124">
        <f aca="true" t="shared" si="36" ref="CC9:CC36">F9+H9+L9+P9+T9+X9+AB9+AF9+AJ9+AL9+AN9+AR9+AV9+AX9+BB9+BD9+BH9+BN9+BR9+BT9+BX9+BZ9+CB9</f>
        <v>14.5</v>
      </c>
      <c r="CD9" s="123">
        <v>0</v>
      </c>
      <c r="CE9" s="38" t="e">
        <f>ROUND(#REF!/SUM(#REF!)*4000000,0)</f>
        <v>#REF!</v>
      </c>
      <c r="CG9" s="55"/>
      <c r="CH9" s="55"/>
    </row>
    <row r="10" spans="1:83" ht="12.75" customHeight="1">
      <c r="A10" s="18">
        <v>4</v>
      </c>
      <c r="B10" s="37" t="s">
        <v>111</v>
      </c>
      <c r="C10" s="39">
        <v>337737610.51</v>
      </c>
      <c r="D10" s="40">
        <v>342040083.43</v>
      </c>
      <c r="E10" s="108">
        <f t="shared" si="5"/>
        <v>0.987</v>
      </c>
      <c r="F10" s="22">
        <f t="shared" si="6"/>
        <v>1.5</v>
      </c>
      <c r="G10" s="42">
        <v>6</v>
      </c>
      <c r="H10" s="22">
        <f t="shared" si="0"/>
        <v>0</v>
      </c>
      <c r="I10" s="41">
        <v>115910823.5</v>
      </c>
      <c r="J10" s="24">
        <v>117826607.82</v>
      </c>
      <c r="K10" s="112">
        <f t="shared" si="7"/>
        <v>0.984</v>
      </c>
      <c r="L10" s="22">
        <f t="shared" si="8"/>
        <v>0</v>
      </c>
      <c r="M10" s="39">
        <v>115910823.5</v>
      </c>
      <c r="N10" s="21">
        <v>116668155</v>
      </c>
      <c r="O10" s="26">
        <f t="shared" si="9"/>
        <v>0.006491330046318123</v>
      </c>
      <c r="P10" s="43">
        <f t="shared" si="10"/>
        <v>1</v>
      </c>
      <c r="Q10" s="95">
        <v>1</v>
      </c>
      <c r="R10" s="95">
        <v>1</v>
      </c>
      <c r="S10" s="105">
        <f t="shared" si="11"/>
        <v>1</v>
      </c>
      <c r="T10" s="22">
        <f t="shared" si="12"/>
        <v>1</v>
      </c>
      <c r="U10" s="95">
        <v>1</v>
      </c>
      <c r="V10" s="95">
        <v>1</v>
      </c>
      <c r="W10" s="105">
        <f t="shared" si="13"/>
        <v>1</v>
      </c>
      <c r="X10" s="22">
        <f t="shared" si="14"/>
        <v>1</v>
      </c>
      <c r="Y10" s="95">
        <v>94</v>
      </c>
      <c r="Z10" s="95">
        <v>117</v>
      </c>
      <c r="AA10" s="105">
        <f t="shared" si="15"/>
        <v>0.8034188034188035</v>
      </c>
      <c r="AB10" s="22">
        <f t="shared" si="16"/>
        <v>1</v>
      </c>
      <c r="AC10" s="27">
        <v>250000</v>
      </c>
      <c r="AD10" s="27">
        <v>315156957.09</v>
      </c>
      <c r="AE10" s="97">
        <f t="shared" si="17"/>
        <v>0.0007932555330790525</v>
      </c>
      <c r="AF10" s="22">
        <f>IF(AE10&gt;0.5,1,0)</f>
        <v>0</v>
      </c>
      <c r="AG10" s="98">
        <v>18511243.650000036</v>
      </c>
      <c r="AH10" s="98">
        <v>342040083.43</v>
      </c>
      <c r="AI10" s="105">
        <f t="shared" si="18"/>
        <v>0.054</v>
      </c>
      <c r="AJ10" s="22">
        <f t="shared" si="19"/>
        <v>0</v>
      </c>
      <c r="AK10" s="35" t="s">
        <v>24</v>
      </c>
      <c r="AL10" s="19">
        <f t="shared" si="20"/>
        <v>1</v>
      </c>
      <c r="AM10" s="44">
        <v>0</v>
      </c>
      <c r="AN10" s="22">
        <f t="shared" si="21"/>
        <v>3</v>
      </c>
      <c r="AO10" s="23">
        <v>6038700</v>
      </c>
      <c r="AP10" s="41">
        <v>8174240</v>
      </c>
      <c r="AQ10" s="97">
        <f t="shared" si="22"/>
        <v>0.7387</v>
      </c>
      <c r="AR10" s="22">
        <f t="shared" si="23"/>
        <v>1</v>
      </c>
      <c r="AS10" s="41">
        <v>115910823.5</v>
      </c>
      <c r="AT10" s="41">
        <v>109108650.81</v>
      </c>
      <c r="AU10" s="114">
        <f t="shared" si="24"/>
        <v>1.062</v>
      </c>
      <c r="AV10" s="22">
        <f t="shared" si="1"/>
        <v>1.5</v>
      </c>
      <c r="AW10" s="45">
        <v>0</v>
      </c>
      <c r="AX10" s="30">
        <f t="shared" si="2"/>
        <v>1</v>
      </c>
      <c r="AY10" s="31">
        <v>1</v>
      </c>
      <c r="AZ10" s="46">
        <v>1</v>
      </c>
      <c r="BA10" s="119">
        <f t="shared" si="25"/>
        <v>2</v>
      </c>
      <c r="BB10" s="30">
        <f t="shared" si="3"/>
        <v>2</v>
      </c>
      <c r="BC10" s="44" t="s">
        <v>105</v>
      </c>
      <c r="BD10" s="19">
        <f t="shared" si="26"/>
        <v>0</v>
      </c>
      <c r="BE10" s="19">
        <v>0</v>
      </c>
      <c r="BF10" s="47">
        <v>209452106.01</v>
      </c>
      <c r="BG10" s="117">
        <f t="shared" si="27"/>
        <v>0</v>
      </c>
      <c r="BH10" s="33">
        <f t="shared" si="28"/>
        <v>1</v>
      </c>
      <c r="BI10" s="36">
        <v>33376661.68</v>
      </c>
      <c r="BJ10" s="36">
        <v>33568799.57</v>
      </c>
      <c r="BK10" s="36">
        <v>28818755.39999999</v>
      </c>
      <c r="BL10" s="36">
        <v>49115577.11999999</v>
      </c>
      <c r="BM10" s="103">
        <f t="shared" si="4"/>
        <v>1.538640804618329</v>
      </c>
      <c r="BN10" s="33">
        <f t="shared" si="29"/>
        <v>0</v>
      </c>
      <c r="BO10" s="36">
        <v>15723779.69</v>
      </c>
      <c r="BP10" s="36">
        <v>24426304.12</v>
      </c>
      <c r="BQ10" s="107">
        <f t="shared" si="30"/>
        <v>0.644</v>
      </c>
      <c r="BR10" s="22">
        <f t="shared" si="31"/>
        <v>0</v>
      </c>
      <c r="BS10" s="48" t="s">
        <v>24</v>
      </c>
      <c r="BT10" s="19">
        <f t="shared" si="32"/>
        <v>1</v>
      </c>
      <c r="BU10" s="35" t="s">
        <v>24</v>
      </c>
      <c r="BV10" s="35" t="s">
        <v>24</v>
      </c>
      <c r="BW10" s="36" t="s">
        <v>106</v>
      </c>
      <c r="BX10" s="33">
        <f t="shared" si="35"/>
        <v>0</v>
      </c>
      <c r="BY10" s="49" t="s">
        <v>24</v>
      </c>
      <c r="BZ10" s="50">
        <f t="shared" si="33"/>
        <v>1</v>
      </c>
      <c r="CA10" s="49" t="s">
        <v>24</v>
      </c>
      <c r="CB10" s="50">
        <f t="shared" si="34"/>
        <v>1</v>
      </c>
      <c r="CC10" s="124">
        <f t="shared" si="36"/>
        <v>19</v>
      </c>
      <c r="CD10" s="123">
        <f aca="true" t="shared" si="37" ref="CD10:CD37">CC10</f>
        <v>19</v>
      </c>
      <c r="CE10" s="38" t="e">
        <f>ROUND(#REF!/SUM(#REF!)*4000000,0)</f>
        <v>#REF!</v>
      </c>
    </row>
    <row r="11" spans="1:83" ht="12.75" customHeight="1">
      <c r="A11" s="18">
        <v>5</v>
      </c>
      <c r="B11" s="37" t="s">
        <v>113</v>
      </c>
      <c r="C11" s="39">
        <v>268292625.95</v>
      </c>
      <c r="D11" s="40">
        <v>270197512.95</v>
      </c>
      <c r="E11" s="108">
        <f t="shared" si="5"/>
        <v>0.993</v>
      </c>
      <c r="F11" s="22">
        <f t="shared" si="6"/>
        <v>1.5</v>
      </c>
      <c r="G11" s="42">
        <v>12</v>
      </c>
      <c r="H11" s="22">
        <f t="shared" si="0"/>
        <v>0</v>
      </c>
      <c r="I11" s="41">
        <v>89664234.47</v>
      </c>
      <c r="J11" s="24">
        <v>90470405</v>
      </c>
      <c r="K11" s="112">
        <f t="shared" si="7"/>
        <v>0.991</v>
      </c>
      <c r="L11" s="22">
        <f>IF(K11&gt;=100%,1,0)</f>
        <v>0</v>
      </c>
      <c r="M11" s="39">
        <v>89664234.47</v>
      </c>
      <c r="N11" s="21">
        <v>91762500</v>
      </c>
      <c r="O11" s="26">
        <f>ABS(M11-N11)/N11</f>
        <v>0.022866263778776746</v>
      </c>
      <c r="P11" s="43">
        <f t="shared" si="10"/>
        <v>1</v>
      </c>
      <c r="Q11" s="95">
        <v>1</v>
      </c>
      <c r="R11" s="95">
        <v>1</v>
      </c>
      <c r="S11" s="105">
        <f>Q11/R11</f>
        <v>1</v>
      </c>
      <c r="T11" s="22">
        <f>IF(S11&gt;0.75,1,0)</f>
        <v>1</v>
      </c>
      <c r="U11" s="95">
        <v>1</v>
      </c>
      <c r="V11" s="95">
        <v>1</v>
      </c>
      <c r="W11" s="105">
        <f t="shared" si="13"/>
        <v>1</v>
      </c>
      <c r="X11" s="22">
        <f t="shared" si="14"/>
        <v>1</v>
      </c>
      <c r="Y11" s="95">
        <v>97</v>
      </c>
      <c r="Z11" s="95">
        <v>117</v>
      </c>
      <c r="AA11" s="105">
        <f t="shared" si="15"/>
        <v>0.8290598290598291</v>
      </c>
      <c r="AB11" s="22">
        <f t="shared" si="16"/>
        <v>1</v>
      </c>
      <c r="AC11" s="27">
        <v>410000</v>
      </c>
      <c r="AD11" s="27">
        <v>255838282.73</v>
      </c>
      <c r="AE11" s="97">
        <f t="shared" si="17"/>
        <v>0.0016025748594970645</v>
      </c>
      <c r="AF11" s="22">
        <f>IF(AE11&gt;0.5,1,0)</f>
        <v>0</v>
      </c>
      <c r="AG11" s="98">
        <v>8513431.639999986</v>
      </c>
      <c r="AH11" s="98">
        <v>270197512.95</v>
      </c>
      <c r="AI11" s="105">
        <f t="shared" si="18"/>
        <v>0.032</v>
      </c>
      <c r="AJ11" s="22">
        <f t="shared" si="19"/>
        <v>0</v>
      </c>
      <c r="AK11" s="35" t="s">
        <v>24</v>
      </c>
      <c r="AL11" s="19">
        <f t="shared" si="20"/>
        <v>1</v>
      </c>
      <c r="AM11" s="44">
        <v>0</v>
      </c>
      <c r="AN11" s="22">
        <f t="shared" si="21"/>
        <v>3</v>
      </c>
      <c r="AO11" s="23">
        <v>8195920</v>
      </c>
      <c r="AP11" s="41">
        <v>8749580</v>
      </c>
      <c r="AQ11" s="97">
        <f t="shared" si="22"/>
        <v>0.9367</v>
      </c>
      <c r="AR11" s="22">
        <f t="shared" si="23"/>
        <v>1</v>
      </c>
      <c r="AS11" s="41">
        <v>89664234.47</v>
      </c>
      <c r="AT11" s="41">
        <v>88475361.74</v>
      </c>
      <c r="AU11" s="114">
        <f t="shared" si="24"/>
        <v>1.013</v>
      </c>
      <c r="AV11" s="22">
        <f t="shared" si="1"/>
        <v>1</v>
      </c>
      <c r="AW11" s="45">
        <v>0</v>
      </c>
      <c r="AX11" s="30">
        <f t="shared" si="2"/>
        <v>1</v>
      </c>
      <c r="AY11" s="31">
        <v>1</v>
      </c>
      <c r="AZ11" s="46">
        <v>1</v>
      </c>
      <c r="BA11" s="119">
        <f>AZ11+AY11</f>
        <v>2</v>
      </c>
      <c r="BB11" s="30">
        <f>BA11</f>
        <v>2</v>
      </c>
      <c r="BC11" s="44" t="s">
        <v>24</v>
      </c>
      <c r="BD11" s="19">
        <f>IF(BC11="да",1,0)</f>
        <v>1</v>
      </c>
      <c r="BE11" s="19">
        <v>0</v>
      </c>
      <c r="BF11" s="47">
        <v>171748161.32</v>
      </c>
      <c r="BG11" s="117">
        <f>BE11/BF11</f>
        <v>0</v>
      </c>
      <c r="BH11" s="33">
        <f>IF(BG11&gt;0,0,1)</f>
        <v>1</v>
      </c>
      <c r="BI11" s="36">
        <v>27762558.430000003</v>
      </c>
      <c r="BJ11" s="36">
        <v>31877616.350000005</v>
      </c>
      <c r="BK11" s="36">
        <v>22152401.609999977</v>
      </c>
      <c r="BL11" s="36">
        <v>44209343.60000001</v>
      </c>
      <c r="BM11" s="103">
        <f t="shared" si="4"/>
        <v>1.621516727479136</v>
      </c>
      <c r="BN11" s="33">
        <f t="shared" si="29"/>
        <v>0</v>
      </c>
      <c r="BO11" s="36">
        <v>10367840.18</v>
      </c>
      <c r="BP11" s="36">
        <v>15810115.15</v>
      </c>
      <c r="BQ11" s="107">
        <f t="shared" si="30"/>
        <v>0.656</v>
      </c>
      <c r="BR11" s="22">
        <f t="shared" si="31"/>
        <v>0</v>
      </c>
      <c r="BS11" s="48" t="s">
        <v>24</v>
      </c>
      <c r="BT11" s="19">
        <f>IF(BS11="да",1,0)</f>
        <v>1</v>
      </c>
      <c r="BU11" s="35" t="s">
        <v>24</v>
      </c>
      <c r="BV11" s="35" t="s">
        <v>24</v>
      </c>
      <c r="BW11" s="36" t="s">
        <v>24</v>
      </c>
      <c r="BX11" s="33">
        <f t="shared" si="35"/>
        <v>1</v>
      </c>
      <c r="BY11" s="49" t="s">
        <v>24</v>
      </c>
      <c r="BZ11" s="50">
        <f>IF(BY11="да",1,0)</f>
        <v>1</v>
      </c>
      <c r="CA11" s="49" t="s">
        <v>24</v>
      </c>
      <c r="CB11" s="50">
        <f>IF(CA11="да",1,0)</f>
        <v>1</v>
      </c>
      <c r="CC11" s="124">
        <f>F11+H11+L11+P11+T11+X11+AB11+AF11+AJ11+AL11+AN11+AR11+AV11+AX11+BB11+BD11+BH11+BN11+BR11+BT11+BX11+BZ11+CB11</f>
        <v>20.5</v>
      </c>
      <c r="CD11" s="123">
        <f t="shared" si="37"/>
        <v>20.5</v>
      </c>
      <c r="CE11" s="38" t="e">
        <f>ROUND(#REF!/SUM(#REF!)*4000000,0)</f>
        <v>#REF!</v>
      </c>
    </row>
    <row r="12" spans="1:83" ht="12.75" customHeight="1">
      <c r="A12" s="18">
        <v>6</v>
      </c>
      <c r="B12" s="37" t="s">
        <v>114</v>
      </c>
      <c r="C12" s="39">
        <v>439994258.54</v>
      </c>
      <c r="D12" s="40">
        <v>441343690.34</v>
      </c>
      <c r="E12" s="108">
        <f t="shared" si="5"/>
        <v>0.997</v>
      </c>
      <c r="F12" s="22">
        <f t="shared" si="6"/>
        <v>1.5</v>
      </c>
      <c r="G12" s="42">
        <v>6</v>
      </c>
      <c r="H12" s="22">
        <f t="shared" si="0"/>
        <v>0</v>
      </c>
      <c r="I12" s="41">
        <v>144121474.15</v>
      </c>
      <c r="J12" s="24">
        <v>141642468.45</v>
      </c>
      <c r="K12" s="112">
        <f t="shared" si="7"/>
        <v>1.018</v>
      </c>
      <c r="L12" s="22">
        <f t="shared" si="8"/>
        <v>1</v>
      </c>
      <c r="M12" s="39">
        <v>144121474.15</v>
      </c>
      <c r="N12" s="21">
        <v>118565076</v>
      </c>
      <c r="O12" s="26">
        <f t="shared" si="9"/>
        <v>0.21554743616071234</v>
      </c>
      <c r="P12" s="43">
        <f t="shared" si="10"/>
        <v>0</v>
      </c>
      <c r="Q12" s="95">
        <v>10</v>
      </c>
      <c r="R12" s="95">
        <v>11</v>
      </c>
      <c r="S12" s="105">
        <f t="shared" si="11"/>
        <v>0.9090909090909091</v>
      </c>
      <c r="T12" s="22">
        <f t="shared" si="12"/>
        <v>1</v>
      </c>
      <c r="U12" s="95">
        <v>6</v>
      </c>
      <c r="V12" s="95">
        <v>12</v>
      </c>
      <c r="W12" s="105">
        <f t="shared" si="13"/>
        <v>0.5</v>
      </c>
      <c r="X12" s="22">
        <f t="shared" si="14"/>
        <v>0</v>
      </c>
      <c r="Y12" s="95">
        <v>83</v>
      </c>
      <c r="Z12" s="95">
        <v>117</v>
      </c>
      <c r="AA12" s="105">
        <f t="shared" si="15"/>
        <v>0.7094017094017094</v>
      </c>
      <c r="AB12" s="22">
        <f t="shared" si="16"/>
        <v>0</v>
      </c>
      <c r="AC12" s="27">
        <v>100000</v>
      </c>
      <c r="AD12" s="27">
        <v>303279706.34</v>
      </c>
      <c r="AE12" s="97">
        <f>AC12/AD12</f>
        <v>0.00032972862314728133</v>
      </c>
      <c r="AF12" s="22">
        <f>IF(AE12&gt;0.01,1,0)</f>
        <v>0</v>
      </c>
      <c r="AG12" s="98">
        <v>13985486.889999986</v>
      </c>
      <c r="AH12" s="98">
        <v>441343690.34</v>
      </c>
      <c r="AI12" s="105">
        <f t="shared" si="18"/>
        <v>0.032</v>
      </c>
      <c r="AJ12" s="22">
        <f t="shared" si="19"/>
        <v>0</v>
      </c>
      <c r="AK12" s="35" t="s">
        <v>24</v>
      </c>
      <c r="AL12" s="19">
        <f t="shared" si="20"/>
        <v>1</v>
      </c>
      <c r="AM12" s="44">
        <v>0</v>
      </c>
      <c r="AN12" s="22">
        <f t="shared" si="21"/>
        <v>3</v>
      </c>
      <c r="AO12" s="23">
        <v>14286110</v>
      </c>
      <c r="AP12" s="41">
        <v>14199850</v>
      </c>
      <c r="AQ12" s="97">
        <f t="shared" si="22"/>
        <v>1.0061</v>
      </c>
      <c r="AR12" s="22">
        <f t="shared" si="23"/>
        <v>0</v>
      </c>
      <c r="AS12" s="41">
        <v>144121474.15</v>
      </c>
      <c r="AT12" s="41">
        <v>125924004.55</v>
      </c>
      <c r="AU12" s="114">
        <f t="shared" si="24"/>
        <v>1.145</v>
      </c>
      <c r="AV12" s="22">
        <f t="shared" si="1"/>
        <v>1.5</v>
      </c>
      <c r="AW12" s="45">
        <v>0</v>
      </c>
      <c r="AX12" s="30">
        <f t="shared" si="2"/>
        <v>1</v>
      </c>
      <c r="AY12" s="31">
        <v>1</v>
      </c>
      <c r="AZ12" s="46">
        <v>1</v>
      </c>
      <c r="BA12" s="119">
        <f t="shared" si="25"/>
        <v>2</v>
      </c>
      <c r="BB12" s="30">
        <f t="shared" si="3"/>
        <v>2</v>
      </c>
      <c r="BC12" s="44" t="s">
        <v>24</v>
      </c>
      <c r="BD12" s="19">
        <f t="shared" si="26"/>
        <v>1</v>
      </c>
      <c r="BE12" s="19">
        <v>0</v>
      </c>
      <c r="BF12" s="47">
        <v>288891419.18</v>
      </c>
      <c r="BG12" s="117">
        <f t="shared" si="27"/>
        <v>0</v>
      </c>
      <c r="BH12" s="33">
        <f t="shared" si="28"/>
        <v>1</v>
      </c>
      <c r="BI12" s="36">
        <v>51798414.31999999</v>
      </c>
      <c r="BJ12" s="36">
        <v>44183849.44000001</v>
      </c>
      <c r="BK12" s="36">
        <v>48965013.27999996</v>
      </c>
      <c r="BL12" s="36">
        <v>61709347.23000002</v>
      </c>
      <c r="BM12" s="103">
        <f t="shared" si="4"/>
        <v>1.277209516939816</v>
      </c>
      <c r="BN12" s="33">
        <f t="shared" si="29"/>
        <v>0</v>
      </c>
      <c r="BO12" s="36">
        <v>8418911.96</v>
      </c>
      <c r="BP12" s="36">
        <v>5429268.61</v>
      </c>
      <c r="BQ12" s="107">
        <f t="shared" si="30"/>
        <v>1.551</v>
      </c>
      <c r="BR12" s="22">
        <f t="shared" si="31"/>
        <v>1</v>
      </c>
      <c r="BS12" s="48" t="s">
        <v>24</v>
      </c>
      <c r="BT12" s="19">
        <f t="shared" si="32"/>
        <v>1</v>
      </c>
      <c r="BU12" s="35" t="s">
        <v>24</v>
      </c>
      <c r="BV12" s="35" t="s">
        <v>24</v>
      </c>
      <c r="BW12" s="36" t="s">
        <v>24</v>
      </c>
      <c r="BX12" s="33">
        <f t="shared" si="35"/>
        <v>1</v>
      </c>
      <c r="BY12" s="49" t="s">
        <v>24</v>
      </c>
      <c r="BZ12" s="50">
        <f t="shared" si="33"/>
        <v>1</v>
      </c>
      <c r="CA12" s="49" t="s">
        <v>107</v>
      </c>
      <c r="CB12" s="50">
        <f t="shared" si="34"/>
        <v>0</v>
      </c>
      <c r="CC12" s="124">
        <f t="shared" si="36"/>
        <v>18</v>
      </c>
      <c r="CD12" s="123">
        <f t="shared" si="37"/>
        <v>18</v>
      </c>
      <c r="CE12" s="38" t="e">
        <f>ROUND(#REF!/SUM(#REF!)*4000000,0)</f>
        <v>#REF!</v>
      </c>
    </row>
    <row r="13" spans="1:83" ht="12.75" customHeight="1">
      <c r="A13" s="18">
        <v>7</v>
      </c>
      <c r="B13" s="37" t="s">
        <v>115</v>
      </c>
      <c r="C13" s="39">
        <v>1546841991.4</v>
      </c>
      <c r="D13" s="40">
        <v>1584424994.14</v>
      </c>
      <c r="E13" s="108">
        <f t="shared" si="5"/>
        <v>0.976</v>
      </c>
      <c r="F13" s="22">
        <f t="shared" si="6"/>
        <v>1.5</v>
      </c>
      <c r="G13" s="42">
        <v>6</v>
      </c>
      <c r="H13" s="22">
        <f t="shared" si="0"/>
        <v>0</v>
      </c>
      <c r="I13" s="41">
        <v>582567180.64</v>
      </c>
      <c r="J13" s="24">
        <v>551274942.18</v>
      </c>
      <c r="K13" s="112">
        <f t="shared" si="7"/>
        <v>1.057</v>
      </c>
      <c r="L13" s="22">
        <f t="shared" si="8"/>
        <v>1</v>
      </c>
      <c r="M13" s="39">
        <v>582567180.64</v>
      </c>
      <c r="N13" s="21">
        <v>509314540.83</v>
      </c>
      <c r="O13" s="26">
        <f t="shared" si="9"/>
        <v>0.14382593454061704</v>
      </c>
      <c r="P13" s="43">
        <f t="shared" si="10"/>
        <v>0</v>
      </c>
      <c r="Q13" s="109">
        <v>0</v>
      </c>
      <c r="R13" s="95">
        <v>15</v>
      </c>
      <c r="S13" s="105">
        <f t="shared" si="11"/>
        <v>0</v>
      </c>
      <c r="T13" s="22">
        <f t="shared" si="12"/>
        <v>0</v>
      </c>
      <c r="U13" s="95">
        <v>5</v>
      </c>
      <c r="V13" s="95">
        <v>16</v>
      </c>
      <c r="W13" s="105">
        <f t="shared" si="13"/>
        <v>0.3125</v>
      </c>
      <c r="X13" s="22">
        <f t="shared" si="14"/>
        <v>0</v>
      </c>
      <c r="Y13" s="95">
        <v>94</v>
      </c>
      <c r="Z13" s="95">
        <v>117</v>
      </c>
      <c r="AA13" s="105">
        <f t="shared" si="15"/>
        <v>0.8034188034188035</v>
      </c>
      <c r="AB13" s="22">
        <f t="shared" si="16"/>
        <v>1</v>
      </c>
      <c r="AC13" s="27">
        <v>300000</v>
      </c>
      <c r="AD13" s="27">
        <v>1269462235.25</v>
      </c>
      <c r="AE13" s="97">
        <f t="shared" si="17"/>
        <v>0.00023632053925646702</v>
      </c>
      <c r="AF13" s="22">
        <f aca="true" t="shared" si="38" ref="AF13:AF37">IF(AE13&gt;0.01,1,0)</f>
        <v>0</v>
      </c>
      <c r="AG13" s="98">
        <v>72281382.72000003</v>
      </c>
      <c r="AH13" s="98">
        <v>1584424994.14</v>
      </c>
      <c r="AI13" s="105">
        <f t="shared" si="18"/>
        <v>0.046</v>
      </c>
      <c r="AJ13" s="22">
        <f t="shared" si="19"/>
        <v>0</v>
      </c>
      <c r="AK13" s="35" t="s">
        <v>24</v>
      </c>
      <c r="AL13" s="19">
        <f t="shared" si="20"/>
        <v>1</v>
      </c>
      <c r="AM13" s="44">
        <v>0</v>
      </c>
      <c r="AN13" s="22">
        <f t="shared" si="21"/>
        <v>3</v>
      </c>
      <c r="AO13" s="23">
        <v>102548710</v>
      </c>
      <c r="AP13" s="41">
        <v>88690200</v>
      </c>
      <c r="AQ13" s="97">
        <f t="shared" si="22"/>
        <v>1.1563</v>
      </c>
      <c r="AR13" s="22">
        <f t="shared" si="23"/>
        <v>0</v>
      </c>
      <c r="AS13" s="41">
        <v>582567180.64</v>
      </c>
      <c r="AT13" s="41">
        <v>513182325.22</v>
      </c>
      <c r="AU13" s="114">
        <f t="shared" si="24"/>
        <v>1.135</v>
      </c>
      <c r="AV13" s="22">
        <f t="shared" si="1"/>
        <v>1.5</v>
      </c>
      <c r="AW13" s="45">
        <v>0</v>
      </c>
      <c r="AX13" s="30">
        <f t="shared" si="2"/>
        <v>1</v>
      </c>
      <c r="AY13" s="31">
        <v>1</v>
      </c>
      <c r="AZ13" s="46">
        <v>1</v>
      </c>
      <c r="BA13" s="119">
        <f t="shared" si="25"/>
        <v>2</v>
      </c>
      <c r="BB13" s="30">
        <f t="shared" si="3"/>
        <v>2</v>
      </c>
      <c r="BC13" s="44" t="s">
        <v>105</v>
      </c>
      <c r="BD13" s="19">
        <f t="shared" si="26"/>
        <v>0</v>
      </c>
      <c r="BE13" s="19">
        <v>0</v>
      </c>
      <c r="BF13" s="47">
        <v>959217165.89</v>
      </c>
      <c r="BG13" s="117">
        <f t="shared" si="27"/>
        <v>0</v>
      </c>
      <c r="BH13" s="33">
        <f t="shared" si="28"/>
        <v>1</v>
      </c>
      <c r="BI13" s="36">
        <v>123183587.07000001</v>
      </c>
      <c r="BJ13" s="36">
        <v>115656740.97000004</v>
      </c>
      <c r="BK13" s="36">
        <v>116384492.26000002</v>
      </c>
      <c r="BL13" s="36">
        <v>251049205.2299999</v>
      </c>
      <c r="BM13" s="103">
        <f t="shared" si="4"/>
        <v>2.1201998640014503</v>
      </c>
      <c r="BN13" s="33">
        <f t="shared" si="29"/>
        <v>0</v>
      </c>
      <c r="BO13" s="36">
        <v>22991680.43</v>
      </c>
      <c r="BP13" s="36">
        <v>31694795.49</v>
      </c>
      <c r="BQ13" s="107">
        <f t="shared" si="30"/>
        <v>0.725</v>
      </c>
      <c r="BR13" s="22">
        <f t="shared" si="31"/>
        <v>0</v>
      </c>
      <c r="BS13" s="48" t="s">
        <v>24</v>
      </c>
      <c r="BT13" s="19">
        <f t="shared" si="32"/>
        <v>1</v>
      </c>
      <c r="BU13" s="49" t="s">
        <v>24</v>
      </c>
      <c r="BV13" s="49" t="s">
        <v>24</v>
      </c>
      <c r="BW13" s="36" t="s">
        <v>24</v>
      </c>
      <c r="BX13" s="33">
        <f t="shared" si="35"/>
        <v>1</v>
      </c>
      <c r="BY13" s="49" t="s">
        <v>24</v>
      </c>
      <c r="BZ13" s="50">
        <f t="shared" si="33"/>
        <v>1</v>
      </c>
      <c r="CA13" s="49" t="s">
        <v>24</v>
      </c>
      <c r="CB13" s="50">
        <f t="shared" si="34"/>
        <v>1</v>
      </c>
      <c r="CC13" s="124">
        <f t="shared" si="36"/>
        <v>17</v>
      </c>
      <c r="CD13" s="123">
        <f t="shared" si="37"/>
        <v>17</v>
      </c>
      <c r="CE13" s="38" t="e">
        <f>ROUND(#REF!/SUM(#REF!)*4000000,0)</f>
        <v>#REF!</v>
      </c>
    </row>
    <row r="14" spans="1:83" ht="12.75" customHeight="1">
      <c r="A14" s="18">
        <v>8</v>
      </c>
      <c r="B14" s="37" t="s">
        <v>116</v>
      </c>
      <c r="C14" s="39">
        <v>453591798.1</v>
      </c>
      <c r="D14" s="40">
        <v>459937312.94</v>
      </c>
      <c r="E14" s="108">
        <f t="shared" si="5"/>
        <v>0.986</v>
      </c>
      <c r="F14" s="22">
        <f t="shared" si="6"/>
        <v>1.5</v>
      </c>
      <c r="G14" s="42">
        <v>5</v>
      </c>
      <c r="H14" s="22">
        <f t="shared" si="0"/>
        <v>0</v>
      </c>
      <c r="I14" s="41">
        <v>208857776.71</v>
      </c>
      <c r="J14" s="24">
        <v>187450195.23</v>
      </c>
      <c r="K14" s="112">
        <f t="shared" si="7"/>
        <v>1.114</v>
      </c>
      <c r="L14" s="22">
        <f t="shared" si="8"/>
        <v>1</v>
      </c>
      <c r="M14" s="39">
        <v>208857776.71</v>
      </c>
      <c r="N14" s="21">
        <v>179121000</v>
      </c>
      <c r="O14" s="26">
        <f t="shared" si="9"/>
        <v>0.1660150217450774</v>
      </c>
      <c r="P14" s="43">
        <f t="shared" si="10"/>
        <v>0</v>
      </c>
      <c r="Q14" s="95">
        <v>8</v>
      </c>
      <c r="R14" s="95">
        <v>8</v>
      </c>
      <c r="S14" s="105">
        <f t="shared" si="11"/>
        <v>1</v>
      </c>
      <c r="T14" s="22">
        <f t="shared" si="12"/>
        <v>1</v>
      </c>
      <c r="U14" s="95">
        <v>3</v>
      </c>
      <c r="V14" s="95">
        <v>9</v>
      </c>
      <c r="W14" s="105">
        <f t="shared" si="13"/>
        <v>0.3333333333333333</v>
      </c>
      <c r="X14" s="22">
        <f t="shared" si="14"/>
        <v>0</v>
      </c>
      <c r="Y14" s="95">
        <v>94</v>
      </c>
      <c r="Z14" s="95">
        <v>117</v>
      </c>
      <c r="AA14" s="105">
        <f t="shared" si="15"/>
        <v>0.8034188034188035</v>
      </c>
      <c r="AB14" s="22">
        <f t="shared" si="16"/>
        <v>1</v>
      </c>
      <c r="AC14" s="27">
        <v>500000</v>
      </c>
      <c r="AD14" s="27">
        <v>359635139.96000004</v>
      </c>
      <c r="AE14" s="97">
        <f t="shared" si="17"/>
        <v>0.0013902979560217945</v>
      </c>
      <c r="AF14" s="22">
        <f t="shared" si="38"/>
        <v>0</v>
      </c>
      <c r="AG14" s="98">
        <v>17101009.74000001</v>
      </c>
      <c r="AH14" s="98">
        <v>459937312.94</v>
      </c>
      <c r="AI14" s="105">
        <f t="shared" si="18"/>
        <v>0.037</v>
      </c>
      <c r="AJ14" s="22">
        <f t="shared" si="19"/>
        <v>0</v>
      </c>
      <c r="AK14" s="35" t="s">
        <v>24</v>
      </c>
      <c r="AL14" s="19">
        <f t="shared" si="20"/>
        <v>1</v>
      </c>
      <c r="AM14" s="44">
        <v>0</v>
      </c>
      <c r="AN14" s="22">
        <f t="shared" si="21"/>
        <v>3</v>
      </c>
      <c r="AO14" s="23">
        <v>15772050.000000002</v>
      </c>
      <c r="AP14" s="41">
        <v>17295040</v>
      </c>
      <c r="AQ14" s="97">
        <f t="shared" si="22"/>
        <v>0.9119</v>
      </c>
      <c r="AR14" s="22">
        <f t="shared" si="23"/>
        <v>1</v>
      </c>
      <c r="AS14" s="41">
        <v>208857776.71</v>
      </c>
      <c r="AT14" s="41">
        <v>167072049.9</v>
      </c>
      <c r="AU14" s="114">
        <f t="shared" si="24"/>
        <v>1.25</v>
      </c>
      <c r="AV14" s="22">
        <f t="shared" si="1"/>
        <v>1.5</v>
      </c>
      <c r="AW14" s="45">
        <v>0</v>
      </c>
      <c r="AX14" s="30">
        <f t="shared" si="2"/>
        <v>1</v>
      </c>
      <c r="AY14" s="31">
        <v>1</v>
      </c>
      <c r="AZ14" s="46">
        <v>1</v>
      </c>
      <c r="BA14" s="119">
        <f t="shared" si="25"/>
        <v>2</v>
      </c>
      <c r="BB14" s="30">
        <f t="shared" si="3"/>
        <v>2</v>
      </c>
      <c r="BC14" s="44" t="s">
        <v>105</v>
      </c>
      <c r="BD14" s="19">
        <f t="shared" si="26"/>
        <v>0</v>
      </c>
      <c r="BE14" s="19">
        <v>0</v>
      </c>
      <c r="BF14" s="47">
        <v>261507310.74</v>
      </c>
      <c r="BG14" s="117">
        <f t="shared" si="27"/>
        <v>0</v>
      </c>
      <c r="BH14" s="33">
        <f t="shared" si="28"/>
        <v>1</v>
      </c>
      <c r="BI14" s="36">
        <v>50639156.730000004</v>
      </c>
      <c r="BJ14" s="36">
        <v>45672289.010000005</v>
      </c>
      <c r="BK14" s="36">
        <v>44492452.889999986</v>
      </c>
      <c r="BL14" s="36">
        <v>69723203.82999998</v>
      </c>
      <c r="BM14" s="103">
        <f t="shared" si="4"/>
        <v>1.4855384937859513</v>
      </c>
      <c r="BN14" s="33">
        <f t="shared" si="29"/>
        <v>0</v>
      </c>
      <c r="BO14" s="36">
        <v>7628437.71</v>
      </c>
      <c r="BP14" s="36">
        <v>21138154.98</v>
      </c>
      <c r="BQ14" s="107">
        <f t="shared" si="30"/>
        <v>0.361</v>
      </c>
      <c r="BR14" s="22">
        <f t="shared" si="31"/>
        <v>0</v>
      </c>
      <c r="BS14" s="48" t="s">
        <v>24</v>
      </c>
      <c r="BT14" s="19">
        <f t="shared" si="32"/>
        <v>1</v>
      </c>
      <c r="BU14" s="49" t="s">
        <v>24</v>
      </c>
      <c r="BV14" s="35" t="s">
        <v>24</v>
      </c>
      <c r="BW14" s="36" t="s">
        <v>24</v>
      </c>
      <c r="BX14" s="33">
        <f t="shared" si="35"/>
        <v>1</v>
      </c>
      <c r="BY14" s="49" t="s">
        <v>24</v>
      </c>
      <c r="BZ14" s="50">
        <f t="shared" si="33"/>
        <v>1</v>
      </c>
      <c r="CA14" s="49" t="s">
        <v>24</v>
      </c>
      <c r="CB14" s="50">
        <f t="shared" si="34"/>
        <v>1</v>
      </c>
      <c r="CC14" s="124">
        <f>F14+H14+L14+P14+T14+X14+AB14+AF14+AJ14+AL14+AN14+AR14+AV14+AX14+BB14+BD14+BH14+BN14+BR14+BT14+BX14+BZ14+CB14</f>
        <v>19</v>
      </c>
      <c r="CD14" s="123">
        <f t="shared" si="37"/>
        <v>19</v>
      </c>
      <c r="CE14" s="38"/>
    </row>
    <row r="15" spans="1:83" ht="12.75" customHeight="1">
      <c r="A15" s="18">
        <v>9</v>
      </c>
      <c r="B15" s="37" t="s">
        <v>117</v>
      </c>
      <c r="C15" s="39">
        <v>259747343.38</v>
      </c>
      <c r="D15" s="40">
        <v>261032033.38</v>
      </c>
      <c r="E15" s="108">
        <f t="shared" si="5"/>
        <v>0.995</v>
      </c>
      <c r="F15" s="22">
        <f t="shared" si="6"/>
        <v>1.5</v>
      </c>
      <c r="G15" s="42">
        <v>4</v>
      </c>
      <c r="H15" s="22">
        <f t="shared" si="0"/>
        <v>1</v>
      </c>
      <c r="I15" s="41">
        <v>44991134.27</v>
      </c>
      <c r="J15" s="24">
        <v>43979249.25</v>
      </c>
      <c r="K15" s="112">
        <f t="shared" si="7"/>
        <v>1.023</v>
      </c>
      <c r="L15" s="22">
        <f t="shared" si="8"/>
        <v>1</v>
      </c>
      <c r="M15" s="39">
        <v>44991134.27</v>
      </c>
      <c r="N15" s="21">
        <v>46193000</v>
      </c>
      <c r="O15" s="26">
        <f t="shared" si="9"/>
        <v>0.026018351914792213</v>
      </c>
      <c r="P15" s="43">
        <f t="shared" si="10"/>
        <v>1</v>
      </c>
      <c r="Q15" s="95">
        <v>7</v>
      </c>
      <c r="R15" s="95">
        <v>7</v>
      </c>
      <c r="S15" s="105">
        <f t="shared" si="11"/>
        <v>1</v>
      </c>
      <c r="T15" s="22">
        <f t="shared" si="12"/>
        <v>1</v>
      </c>
      <c r="U15" s="95">
        <v>6</v>
      </c>
      <c r="V15" s="95">
        <v>8</v>
      </c>
      <c r="W15" s="105">
        <f t="shared" si="13"/>
        <v>0.75</v>
      </c>
      <c r="X15" s="22">
        <f t="shared" si="14"/>
        <v>1</v>
      </c>
      <c r="Y15" s="95">
        <v>84</v>
      </c>
      <c r="Z15" s="95">
        <v>117</v>
      </c>
      <c r="AA15" s="105">
        <f t="shared" si="15"/>
        <v>0.717948717948718</v>
      </c>
      <c r="AB15" s="22">
        <f t="shared" si="16"/>
        <v>0</v>
      </c>
      <c r="AC15" s="27">
        <v>300000</v>
      </c>
      <c r="AD15" s="27">
        <v>225333454.85</v>
      </c>
      <c r="AE15" s="97">
        <f t="shared" si="17"/>
        <v>0.001331360228776078</v>
      </c>
      <c r="AF15" s="22">
        <f t="shared" si="38"/>
        <v>0</v>
      </c>
      <c r="AG15" s="98">
        <v>8120355.349999994</v>
      </c>
      <c r="AH15" s="98">
        <v>261032033.38</v>
      </c>
      <c r="AI15" s="105">
        <f t="shared" si="18"/>
        <v>0.031</v>
      </c>
      <c r="AJ15" s="22">
        <f t="shared" si="19"/>
        <v>0</v>
      </c>
      <c r="AK15" s="35" t="s">
        <v>105</v>
      </c>
      <c r="AL15" s="19">
        <f t="shared" si="20"/>
        <v>0</v>
      </c>
      <c r="AM15" s="44">
        <v>0</v>
      </c>
      <c r="AN15" s="22">
        <f t="shared" si="21"/>
        <v>3</v>
      </c>
      <c r="AO15" s="23">
        <v>1731949.9999999998</v>
      </c>
      <c r="AP15" s="41">
        <v>2120390</v>
      </c>
      <c r="AQ15" s="97">
        <f t="shared" si="22"/>
        <v>0.8168</v>
      </c>
      <c r="AR15" s="22">
        <f t="shared" si="23"/>
        <v>1</v>
      </c>
      <c r="AS15" s="41">
        <v>44991134.27</v>
      </c>
      <c r="AT15" s="41">
        <v>45383993.47</v>
      </c>
      <c r="AU15" s="114">
        <f t="shared" si="24"/>
        <v>0.991</v>
      </c>
      <c r="AV15" s="22">
        <f t="shared" si="1"/>
        <v>0</v>
      </c>
      <c r="AW15" s="45">
        <v>0</v>
      </c>
      <c r="AX15" s="30">
        <f t="shared" si="2"/>
        <v>1</v>
      </c>
      <c r="AY15" s="31">
        <v>1</v>
      </c>
      <c r="AZ15" s="46">
        <v>1</v>
      </c>
      <c r="BA15" s="119">
        <f t="shared" si="25"/>
        <v>2</v>
      </c>
      <c r="BB15" s="30">
        <f t="shared" si="3"/>
        <v>2</v>
      </c>
      <c r="BC15" s="44" t="s">
        <v>24</v>
      </c>
      <c r="BD15" s="19">
        <f t="shared" si="26"/>
        <v>1</v>
      </c>
      <c r="BE15" s="19">
        <v>0</v>
      </c>
      <c r="BF15" s="47">
        <v>208818890.77</v>
      </c>
      <c r="BG15" s="117">
        <f t="shared" si="27"/>
        <v>0</v>
      </c>
      <c r="BH15" s="33">
        <f t="shared" si="28"/>
        <v>1</v>
      </c>
      <c r="BI15" s="36">
        <v>24288332.400000002</v>
      </c>
      <c r="BJ15" s="36">
        <v>20586836.80999999</v>
      </c>
      <c r="BK15" s="36">
        <v>19517294.120000005</v>
      </c>
      <c r="BL15" s="36">
        <v>32079403.930000022</v>
      </c>
      <c r="BM15" s="103">
        <f t="shared" si="4"/>
        <v>1.4945570772280639</v>
      </c>
      <c r="BN15" s="33">
        <f t="shared" si="29"/>
        <v>0</v>
      </c>
      <c r="BO15" s="36">
        <v>2828726.39</v>
      </c>
      <c r="BP15" s="36">
        <v>4430355.3</v>
      </c>
      <c r="BQ15" s="107">
        <f t="shared" si="30"/>
        <v>0.638</v>
      </c>
      <c r="BR15" s="22">
        <f t="shared" si="31"/>
        <v>0</v>
      </c>
      <c r="BS15" s="48" t="s">
        <v>24</v>
      </c>
      <c r="BT15" s="19">
        <f t="shared" si="32"/>
        <v>1</v>
      </c>
      <c r="BU15" s="35" t="s">
        <v>24</v>
      </c>
      <c r="BV15" s="35" t="s">
        <v>24</v>
      </c>
      <c r="BW15" s="36" t="s">
        <v>24</v>
      </c>
      <c r="BX15" s="33">
        <f t="shared" si="35"/>
        <v>1</v>
      </c>
      <c r="BY15" s="49" t="s">
        <v>24</v>
      </c>
      <c r="BZ15" s="50">
        <f t="shared" si="33"/>
        <v>1</v>
      </c>
      <c r="CA15" s="49" t="s">
        <v>24</v>
      </c>
      <c r="CB15" s="50">
        <f t="shared" si="34"/>
        <v>1</v>
      </c>
      <c r="CC15" s="124">
        <f t="shared" si="36"/>
        <v>19.5</v>
      </c>
      <c r="CD15" s="123">
        <f t="shared" si="37"/>
        <v>19.5</v>
      </c>
      <c r="CE15" s="53"/>
    </row>
    <row r="16" spans="1:83" ht="12.75" customHeight="1">
      <c r="A16" s="18">
        <v>10</v>
      </c>
      <c r="B16" s="37" t="s">
        <v>118</v>
      </c>
      <c r="C16" s="39">
        <v>377170965.8</v>
      </c>
      <c r="D16" s="40">
        <v>378697933.71</v>
      </c>
      <c r="E16" s="108">
        <f t="shared" si="5"/>
        <v>0.996</v>
      </c>
      <c r="F16" s="22">
        <f t="shared" si="6"/>
        <v>1.5</v>
      </c>
      <c r="G16" s="42">
        <v>3</v>
      </c>
      <c r="H16" s="22">
        <f t="shared" si="0"/>
        <v>1</v>
      </c>
      <c r="I16" s="41">
        <v>125189480.3</v>
      </c>
      <c r="J16" s="24">
        <v>123593183.54</v>
      </c>
      <c r="K16" s="112">
        <f t="shared" si="7"/>
        <v>1.013</v>
      </c>
      <c r="L16" s="22">
        <f t="shared" si="8"/>
        <v>1</v>
      </c>
      <c r="M16" s="39">
        <v>125189480.3</v>
      </c>
      <c r="N16" s="21">
        <v>122356900</v>
      </c>
      <c r="O16" s="26">
        <f t="shared" si="9"/>
        <v>0.023150147641857525</v>
      </c>
      <c r="P16" s="43">
        <f t="shared" si="10"/>
        <v>1</v>
      </c>
      <c r="Q16" s="95">
        <v>7</v>
      </c>
      <c r="R16" s="95">
        <v>7</v>
      </c>
      <c r="S16" s="105">
        <f t="shared" si="11"/>
        <v>1</v>
      </c>
      <c r="T16" s="22">
        <f t="shared" si="12"/>
        <v>1</v>
      </c>
      <c r="U16" s="95">
        <v>2</v>
      </c>
      <c r="V16" s="95">
        <v>8</v>
      </c>
      <c r="W16" s="105">
        <f t="shared" si="13"/>
        <v>0.25</v>
      </c>
      <c r="X16" s="22">
        <f t="shared" si="14"/>
        <v>0</v>
      </c>
      <c r="Y16" s="95">
        <v>105</v>
      </c>
      <c r="Z16" s="95">
        <v>117</v>
      </c>
      <c r="AA16" s="105">
        <f t="shared" si="15"/>
        <v>0.8974358974358975</v>
      </c>
      <c r="AB16" s="22">
        <f t="shared" si="16"/>
        <v>1</v>
      </c>
      <c r="AC16" s="27">
        <v>100000</v>
      </c>
      <c r="AD16" s="27">
        <v>300498091.32</v>
      </c>
      <c r="AE16" s="97">
        <f t="shared" si="17"/>
        <v>0.0003327808158804914</v>
      </c>
      <c r="AF16" s="22">
        <f t="shared" si="38"/>
        <v>0</v>
      </c>
      <c r="AG16" s="98">
        <v>12544030.00999999</v>
      </c>
      <c r="AH16" s="98">
        <v>378697933.71</v>
      </c>
      <c r="AI16" s="105">
        <f t="shared" si="18"/>
        <v>0.033</v>
      </c>
      <c r="AJ16" s="22">
        <f t="shared" si="19"/>
        <v>0</v>
      </c>
      <c r="AK16" s="35" t="s">
        <v>24</v>
      </c>
      <c r="AL16" s="19">
        <f t="shared" si="20"/>
        <v>1</v>
      </c>
      <c r="AM16" s="44">
        <v>0</v>
      </c>
      <c r="AN16" s="22">
        <f t="shared" si="21"/>
        <v>3</v>
      </c>
      <c r="AO16" s="23">
        <v>14184500</v>
      </c>
      <c r="AP16" s="41">
        <v>16884260.000000004</v>
      </c>
      <c r="AQ16" s="97">
        <f t="shared" si="22"/>
        <v>0.8401</v>
      </c>
      <c r="AR16" s="22">
        <f t="shared" si="23"/>
        <v>1</v>
      </c>
      <c r="AS16" s="41">
        <v>125189480.3</v>
      </c>
      <c r="AT16" s="41">
        <v>121928379.84</v>
      </c>
      <c r="AU16" s="114">
        <f t="shared" si="24"/>
        <v>1.027</v>
      </c>
      <c r="AV16" s="22">
        <f t="shared" si="1"/>
        <v>1</v>
      </c>
      <c r="AW16" s="45">
        <v>0</v>
      </c>
      <c r="AX16" s="30">
        <f t="shared" si="2"/>
        <v>1</v>
      </c>
      <c r="AY16" s="31">
        <v>1</v>
      </c>
      <c r="AZ16" s="46">
        <v>1</v>
      </c>
      <c r="BA16" s="119">
        <f t="shared" si="25"/>
        <v>2</v>
      </c>
      <c r="BB16" s="30">
        <f t="shared" si="3"/>
        <v>2</v>
      </c>
      <c r="BC16" s="44" t="s">
        <v>24</v>
      </c>
      <c r="BD16" s="19">
        <f t="shared" si="26"/>
        <v>1</v>
      </c>
      <c r="BE16" s="19">
        <v>0</v>
      </c>
      <c r="BF16" s="47">
        <v>238638143.48</v>
      </c>
      <c r="BG16" s="117">
        <f t="shared" si="27"/>
        <v>0</v>
      </c>
      <c r="BH16" s="33">
        <f t="shared" si="28"/>
        <v>1</v>
      </c>
      <c r="BI16" s="36">
        <v>42266258.480000004</v>
      </c>
      <c r="BJ16" s="36">
        <v>34654467.90999998</v>
      </c>
      <c r="BK16" s="36">
        <v>35067584.04000001</v>
      </c>
      <c r="BL16" s="36">
        <v>61401139.79000004</v>
      </c>
      <c r="BM16" s="103">
        <f t="shared" si="4"/>
        <v>1.6448450616204204</v>
      </c>
      <c r="BN16" s="33">
        <f t="shared" si="29"/>
        <v>0</v>
      </c>
      <c r="BO16" s="36">
        <v>4644803.39</v>
      </c>
      <c r="BP16" s="36">
        <v>6976503.72</v>
      </c>
      <c r="BQ16" s="107">
        <f t="shared" si="30"/>
        <v>0.666</v>
      </c>
      <c r="BR16" s="22">
        <f t="shared" si="31"/>
        <v>0</v>
      </c>
      <c r="BS16" s="48" t="s">
        <v>24</v>
      </c>
      <c r="BT16" s="19">
        <f t="shared" si="32"/>
        <v>1</v>
      </c>
      <c r="BU16" s="35" t="s">
        <v>24</v>
      </c>
      <c r="BV16" s="35" t="s">
        <v>24</v>
      </c>
      <c r="BW16" s="36" t="s">
        <v>24</v>
      </c>
      <c r="BX16" s="33">
        <f t="shared" si="35"/>
        <v>1</v>
      </c>
      <c r="BY16" s="49" t="s">
        <v>24</v>
      </c>
      <c r="BZ16" s="50">
        <f t="shared" si="33"/>
        <v>1</v>
      </c>
      <c r="CA16" s="49" t="s">
        <v>107</v>
      </c>
      <c r="CB16" s="50">
        <f t="shared" si="34"/>
        <v>0</v>
      </c>
      <c r="CC16" s="124">
        <f t="shared" si="36"/>
        <v>20.5</v>
      </c>
      <c r="CD16" s="123">
        <f t="shared" si="37"/>
        <v>20.5</v>
      </c>
      <c r="CE16" s="52"/>
    </row>
    <row r="17" spans="1:83" ht="12.75" customHeight="1">
      <c r="A17" s="18">
        <v>11</v>
      </c>
      <c r="B17" s="37" t="s">
        <v>119</v>
      </c>
      <c r="C17" s="39">
        <v>1377117903.06</v>
      </c>
      <c r="D17" s="40">
        <v>1378933095.87</v>
      </c>
      <c r="E17" s="108">
        <f t="shared" si="5"/>
        <v>0.999</v>
      </c>
      <c r="F17" s="22">
        <f t="shared" si="6"/>
        <v>1.5</v>
      </c>
      <c r="G17" s="42">
        <v>7</v>
      </c>
      <c r="H17" s="22">
        <f t="shared" si="0"/>
        <v>0</v>
      </c>
      <c r="I17" s="41">
        <v>390817553.17</v>
      </c>
      <c r="J17" s="24">
        <v>374840858.39</v>
      </c>
      <c r="K17" s="112">
        <f t="shared" si="7"/>
        <v>1.043</v>
      </c>
      <c r="L17" s="22">
        <f>IF(K17&gt;=100%,1,0)</f>
        <v>1</v>
      </c>
      <c r="M17" s="39">
        <v>390817553.17</v>
      </c>
      <c r="N17" s="21">
        <v>372895182.86</v>
      </c>
      <c r="O17" s="26">
        <f>ABS(M17-N17)/N17</f>
        <v>0.048062756328844256</v>
      </c>
      <c r="P17" s="43">
        <f t="shared" si="10"/>
        <v>1</v>
      </c>
      <c r="Q17" s="95">
        <v>0</v>
      </c>
      <c r="R17" s="95">
        <v>10</v>
      </c>
      <c r="S17" s="105">
        <f>Q17/R17</f>
        <v>0</v>
      </c>
      <c r="T17" s="22">
        <f>IF(S17&gt;0.75,1,0)</f>
        <v>0</v>
      </c>
      <c r="U17" s="95">
        <v>8</v>
      </c>
      <c r="V17" s="95">
        <v>11</v>
      </c>
      <c r="W17" s="105">
        <f t="shared" si="13"/>
        <v>0.7272727272727273</v>
      </c>
      <c r="X17" s="22">
        <f t="shared" si="14"/>
        <v>1</v>
      </c>
      <c r="Y17" s="95">
        <v>103</v>
      </c>
      <c r="Z17" s="95">
        <v>117</v>
      </c>
      <c r="AA17" s="105">
        <f t="shared" si="15"/>
        <v>0.8803418803418803</v>
      </c>
      <c r="AB17" s="22">
        <f t="shared" si="16"/>
        <v>1</v>
      </c>
      <c r="AC17" s="27">
        <v>3000000</v>
      </c>
      <c r="AD17" s="27">
        <v>850178798.34</v>
      </c>
      <c r="AE17" s="97">
        <f t="shared" si="17"/>
        <v>0.003528669505588226</v>
      </c>
      <c r="AF17" s="22">
        <f t="shared" si="38"/>
        <v>0</v>
      </c>
      <c r="AG17" s="98">
        <v>114934601.98999977</v>
      </c>
      <c r="AH17" s="98">
        <v>1378933095.87</v>
      </c>
      <c r="AI17" s="105">
        <f t="shared" si="18"/>
        <v>0.083</v>
      </c>
      <c r="AJ17" s="22">
        <f t="shared" si="19"/>
        <v>0</v>
      </c>
      <c r="AK17" s="35" t="s">
        <v>105</v>
      </c>
      <c r="AL17" s="19">
        <f t="shared" si="20"/>
        <v>0</v>
      </c>
      <c r="AM17" s="44">
        <v>0</v>
      </c>
      <c r="AN17" s="22">
        <f t="shared" si="21"/>
        <v>3</v>
      </c>
      <c r="AO17" s="23">
        <v>53850110</v>
      </c>
      <c r="AP17" s="41">
        <v>53727070</v>
      </c>
      <c r="AQ17" s="97">
        <f t="shared" si="22"/>
        <v>1.0023</v>
      </c>
      <c r="AR17" s="22">
        <f t="shared" si="23"/>
        <v>0</v>
      </c>
      <c r="AS17" s="41">
        <v>390817553.17</v>
      </c>
      <c r="AT17" s="41">
        <v>363489025.24</v>
      </c>
      <c r="AU17" s="114">
        <f t="shared" si="24"/>
        <v>1.075</v>
      </c>
      <c r="AV17" s="22">
        <f t="shared" si="1"/>
        <v>1.5</v>
      </c>
      <c r="AW17" s="45">
        <v>0</v>
      </c>
      <c r="AX17" s="30">
        <f t="shared" si="2"/>
        <v>1</v>
      </c>
      <c r="AY17" s="31">
        <v>1</v>
      </c>
      <c r="AZ17" s="46">
        <v>1</v>
      </c>
      <c r="BA17" s="119">
        <f>AZ17+AY17</f>
        <v>2</v>
      </c>
      <c r="BB17" s="30">
        <f>BA17</f>
        <v>2</v>
      </c>
      <c r="BC17" s="44" t="s">
        <v>105</v>
      </c>
      <c r="BD17" s="19">
        <f>IF(BC17="да",1,0)</f>
        <v>0</v>
      </c>
      <c r="BE17" s="19">
        <v>0</v>
      </c>
      <c r="BF17" s="47">
        <v>892667744.03</v>
      </c>
      <c r="BG17" s="117">
        <f>BE17/BF17</f>
        <v>0</v>
      </c>
      <c r="BH17" s="33">
        <f>IF(BG17&gt;0,0,1)</f>
        <v>1</v>
      </c>
      <c r="BI17" s="36">
        <v>120872341.5</v>
      </c>
      <c r="BJ17" s="36">
        <v>115835347.73000002</v>
      </c>
      <c r="BK17" s="36">
        <v>103169308.01999998</v>
      </c>
      <c r="BL17" s="36">
        <v>158653752.60000014</v>
      </c>
      <c r="BM17" s="103">
        <f t="shared" si="4"/>
        <v>1.4003926763243182</v>
      </c>
      <c r="BN17" s="33">
        <f t="shared" si="29"/>
        <v>0</v>
      </c>
      <c r="BO17" s="36">
        <v>31529977.27</v>
      </c>
      <c r="BP17" s="36">
        <v>58933259.85</v>
      </c>
      <c r="BQ17" s="107">
        <f t="shared" si="30"/>
        <v>0.535</v>
      </c>
      <c r="BR17" s="22">
        <f t="shared" si="31"/>
        <v>0</v>
      </c>
      <c r="BS17" s="48" t="s">
        <v>24</v>
      </c>
      <c r="BT17" s="19">
        <f>IF(BS17="да",1,0)</f>
        <v>1</v>
      </c>
      <c r="BU17" s="35" t="s">
        <v>24</v>
      </c>
      <c r="BV17" s="35" t="s">
        <v>24</v>
      </c>
      <c r="BW17" s="36" t="s">
        <v>24</v>
      </c>
      <c r="BX17" s="33">
        <f t="shared" si="35"/>
        <v>1</v>
      </c>
      <c r="BY17" s="49" t="s">
        <v>24</v>
      </c>
      <c r="BZ17" s="50">
        <f>IF(BY17="да",1,0)</f>
        <v>1</v>
      </c>
      <c r="CA17" s="49" t="s">
        <v>24</v>
      </c>
      <c r="CB17" s="50">
        <f>IF(CA17="да",1,0)</f>
        <v>1</v>
      </c>
      <c r="CC17" s="124">
        <f>F17+H17+L17+P17+T17+X17+AB17+AF17+AJ17+AL17+AN17+AR17+AV17+AX17+BB17+BD17+BH17+BN17+BR17+BT17+BX17+BZ17+CB17</f>
        <v>18</v>
      </c>
      <c r="CD17" s="123">
        <f t="shared" si="37"/>
        <v>18</v>
      </c>
      <c r="CE17" s="51"/>
    </row>
    <row r="18" spans="1:83" ht="12.75" customHeight="1">
      <c r="A18" s="18">
        <v>12</v>
      </c>
      <c r="B18" s="37" t="s">
        <v>120</v>
      </c>
      <c r="C18" s="39">
        <v>203194155.9</v>
      </c>
      <c r="D18" s="40">
        <v>206538980.49</v>
      </c>
      <c r="E18" s="108">
        <f t="shared" si="5"/>
        <v>0.984</v>
      </c>
      <c r="F18" s="22">
        <f t="shared" si="6"/>
        <v>1.5</v>
      </c>
      <c r="G18" s="42">
        <v>5</v>
      </c>
      <c r="H18" s="22">
        <f aca="true" t="shared" si="39" ref="H18:H37">IF(G18&lt;=4,1,0)</f>
        <v>0</v>
      </c>
      <c r="I18" s="41">
        <v>57977584.16</v>
      </c>
      <c r="J18" s="24">
        <v>56910587.5</v>
      </c>
      <c r="K18" s="112">
        <f t="shared" si="7"/>
        <v>1.019</v>
      </c>
      <c r="L18" s="22">
        <f t="shared" si="8"/>
        <v>1</v>
      </c>
      <c r="M18" s="39">
        <v>57977584.16</v>
      </c>
      <c r="N18" s="21">
        <v>54011404</v>
      </c>
      <c r="O18" s="26">
        <f t="shared" si="9"/>
        <v>0.07343227293258284</v>
      </c>
      <c r="P18" s="43">
        <f t="shared" si="10"/>
        <v>1</v>
      </c>
      <c r="Q18" s="95">
        <v>0</v>
      </c>
      <c r="R18" s="95">
        <v>3</v>
      </c>
      <c r="S18" s="105">
        <f t="shared" si="11"/>
        <v>0</v>
      </c>
      <c r="T18" s="22">
        <f t="shared" si="12"/>
        <v>0</v>
      </c>
      <c r="U18" s="95">
        <v>2</v>
      </c>
      <c r="V18" s="95">
        <v>4</v>
      </c>
      <c r="W18" s="105">
        <f t="shared" si="13"/>
        <v>0.5</v>
      </c>
      <c r="X18" s="22">
        <f t="shared" si="14"/>
        <v>0</v>
      </c>
      <c r="Y18" s="95">
        <v>101</v>
      </c>
      <c r="Z18" s="95">
        <v>117</v>
      </c>
      <c r="AA18" s="105">
        <f t="shared" si="15"/>
        <v>0.8632478632478633</v>
      </c>
      <c r="AB18" s="22">
        <f t="shared" si="16"/>
        <v>1</v>
      </c>
      <c r="AC18" s="27">
        <v>100000</v>
      </c>
      <c r="AD18" s="27">
        <v>175815248.81</v>
      </c>
      <c r="AE18" s="97">
        <f t="shared" si="17"/>
        <v>0.0005687788782648085</v>
      </c>
      <c r="AF18" s="22">
        <f t="shared" si="38"/>
        <v>0</v>
      </c>
      <c r="AG18" s="98">
        <v>8061856.960000008</v>
      </c>
      <c r="AH18" s="98">
        <v>206538980.49</v>
      </c>
      <c r="AI18" s="105">
        <f t="shared" si="18"/>
        <v>0.039</v>
      </c>
      <c r="AJ18" s="22">
        <f t="shared" si="19"/>
        <v>0</v>
      </c>
      <c r="AK18" s="35" t="s">
        <v>24</v>
      </c>
      <c r="AL18" s="19">
        <f t="shared" si="20"/>
        <v>1</v>
      </c>
      <c r="AM18" s="44">
        <v>0</v>
      </c>
      <c r="AN18" s="22">
        <f t="shared" si="21"/>
        <v>3</v>
      </c>
      <c r="AO18" s="23">
        <v>2550630</v>
      </c>
      <c r="AP18" s="41">
        <v>3826049.9999999995</v>
      </c>
      <c r="AQ18" s="97">
        <f t="shared" si="22"/>
        <v>0.6666</v>
      </c>
      <c r="AR18" s="22">
        <f t="shared" si="23"/>
        <v>1</v>
      </c>
      <c r="AS18" s="41">
        <v>57977584.16</v>
      </c>
      <c r="AT18" s="41">
        <v>60339078.24</v>
      </c>
      <c r="AU18" s="114">
        <f t="shared" si="24"/>
        <v>0.961</v>
      </c>
      <c r="AV18" s="22">
        <f t="shared" si="1"/>
        <v>0</v>
      </c>
      <c r="AW18" s="45">
        <v>0</v>
      </c>
      <c r="AX18" s="30">
        <f t="shared" si="2"/>
        <v>1</v>
      </c>
      <c r="AY18" s="31">
        <v>1</v>
      </c>
      <c r="AZ18" s="46">
        <v>1</v>
      </c>
      <c r="BA18" s="119">
        <f t="shared" si="25"/>
        <v>2</v>
      </c>
      <c r="BB18" s="30">
        <f t="shared" si="3"/>
        <v>2</v>
      </c>
      <c r="BC18" s="44" t="s">
        <v>24</v>
      </c>
      <c r="BD18" s="19">
        <f t="shared" si="26"/>
        <v>1</v>
      </c>
      <c r="BE18" s="19">
        <v>0</v>
      </c>
      <c r="BF18" s="47">
        <v>137465814.76</v>
      </c>
      <c r="BG18" s="117">
        <f t="shared" si="27"/>
        <v>0</v>
      </c>
      <c r="BH18" s="33">
        <f t="shared" si="28"/>
        <v>1</v>
      </c>
      <c r="BI18" s="36">
        <v>19152949.86</v>
      </c>
      <c r="BJ18" s="36">
        <v>22713998.819999993</v>
      </c>
      <c r="BK18" s="36">
        <v>14246413.630000003</v>
      </c>
      <c r="BL18" s="36">
        <v>36801906.460000016</v>
      </c>
      <c r="BM18" s="103">
        <f t="shared" si="4"/>
        <v>1.9675477432640778</v>
      </c>
      <c r="BN18" s="33">
        <f t="shared" si="29"/>
        <v>0</v>
      </c>
      <c r="BO18" s="36">
        <v>1847064.06</v>
      </c>
      <c r="BP18" s="36">
        <v>3113057.91</v>
      </c>
      <c r="BQ18" s="107">
        <f t="shared" si="30"/>
        <v>0.593</v>
      </c>
      <c r="BR18" s="22">
        <f t="shared" si="31"/>
        <v>0</v>
      </c>
      <c r="BS18" s="48" t="s">
        <v>24</v>
      </c>
      <c r="BT18" s="19">
        <f t="shared" si="32"/>
        <v>1</v>
      </c>
      <c r="BU18" s="35" t="s">
        <v>24</v>
      </c>
      <c r="BV18" s="35" t="s">
        <v>24</v>
      </c>
      <c r="BW18" s="36" t="s">
        <v>24</v>
      </c>
      <c r="BX18" s="33">
        <f t="shared" si="35"/>
        <v>1</v>
      </c>
      <c r="BY18" s="49" t="s">
        <v>24</v>
      </c>
      <c r="BZ18" s="50">
        <f t="shared" si="33"/>
        <v>1</v>
      </c>
      <c r="CA18" s="49" t="s">
        <v>24</v>
      </c>
      <c r="CB18" s="50">
        <f t="shared" si="34"/>
        <v>1</v>
      </c>
      <c r="CC18" s="124">
        <f t="shared" si="36"/>
        <v>18.5</v>
      </c>
      <c r="CD18" s="123">
        <f t="shared" si="37"/>
        <v>18.5</v>
      </c>
      <c r="CE18" s="54"/>
    </row>
    <row r="19" spans="1:83" ht="12.75" customHeight="1">
      <c r="A19" s="18">
        <v>13</v>
      </c>
      <c r="B19" s="37" t="s">
        <v>163</v>
      </c>
      <c r="C19" s="39">
        <v>872678347.74</v>
      </c>
      <c r="D19" s="40">
        <v>875959545.85</v>
      </c>
      <c r="E19" s="108">
        <f t="shared" si="5"/>
        <v>0.996</v>
      </c>
      <c r="F19" s="22">
        <f t="shared" si="6"/>
        <v>1.5</v>
      </c>
      <c r="G19" s="42">
        <v>5</v>
      </c>
      <c r="H19" s="22">
        <f t="shared" si="39"/>
        <v>0</v>
      </c>
      <c r="I19" s="41">
        <v>363853105.89</v>
      </c>
      <c r="J19" s="24">
        <v>234994289.53</v>
      </c>
      <c r="K19" s="112">
        <f t="shared" si="7"/>
        <v>1.548</v>
      </c>
      <c r="L19" s="22">
        <f t="shared" si="8"/>
        <v>1</v>
      </c>
      <c r="M19" s="39">
        <v>363853105.89</v>
      </c>
      <c r="N19" s="21">
        <v>244174400</v>
      </c>
      <c r="O19" s="26">
        <f t="shared" si="9"/>
        <v>0.4901361727109803</v>
      </c>
      <c r="P19" s="43">
        <f t="shared" si="10"/>
        <v>0</v>
      </c>
      <c r="Q19" s="95">
        <v>8</v>
      </c>
      <c r="R19" s="95">
        <v>10</v>
      </c>
      <c r="S19" s="105">
        <f t="shared" si="11"/>
        <v>0.8</v>
      </c>
      <c r="T19" s="22">
        <f t="shared" si="12"/>
        <v>1</v>
      </c>
      <c r="U19" s="95">
        <v>6</v>
      </c>
      <c r="V19" s="95">
        <v>11</v>
      </c>
      <c r="W19" s="105">
        <f t="shared" si="13"/>
        <v>0.5454545454545454</v>
      </c>
      <c r="X19" s="22">
        <f t="shared" si="14"/>
        <v>1</v>
      </c>
      <c r="Y19" s="95">
        <v>81</v>
      </c>
      <c r="Z19" s="95">
        <v>117</v>
      </c>
      <c r="AA19" s="105">
        <f t="shared" si="15"/>
        <v>0.6923076923076923</v>
      </c>
      <c r="AB19" s="22">
        <f t="shared" si="16"/>
        <v>0</v>
      </c>
      <c r="AC19" s="27">
        <v>100000</v>
      </c>
      <c r="AD19" s="27">
        <v>576742609.41</v>
      </c>
      <c r="AE19" s="97">
        <f>AC19/AD19</f>
        <v>0.00017338757076106908</v>
      </c>
      <c r="AF19" s="22">
        <f t="shared" si="38"/>
        <v>0</v>
      </c>
      <c r="AG19" s="98">
        <v>59189059.77999997</v>
      </c>
      <c r="AH19" s="98">
        <v>875959545.85</v>
      </c>
      <c r="AI19" s="105">
        <f t="shared" si="18"/>
        <v>0.068</v>
      </c>
      <c r="AJ19" s="22">
        <f t="shared" si="19"/>
        <v>0</v>
      </c>
      <c r="AK19" s="35" t="s">
        <v>105</v>
      </c>
      <c r="AL19" s="19">
        <f t="shared" si="20"/>
        <v>0</v>
      </c>
      <c r="AM19" s="44">
        <v>0</v>
      </c>
      <c r="AN19" s="22">
        <f t="shared" si="21"/>
        <v>3</v>
      </c>
      <c r="AO19" s="23">
        <v>21371739.999999996</v>
      </c>
      <c r="AP19" s="41">
        <v>22018890</v>
      </c>
      <c r="AQ19" s="97">
        <f t="shared" si="22"/>
        <v>0.9706</v>
      </c>
      <c r="AR19" s="22">
        <f t="shared" si="23"/>
        <v>1</v>
      </c>
      <c r="AS19" s="41">
        <v>363853105.89</v>
      </c>
      <c r="AT19" s="41">
        <v>233582614.61</v>
      </c>
      <c r="AU19" s="114">
        <f t="shared" si="24"/>
        <v>1.558</v>
      </c>
      <c r="AV19" s="22">
        <f t="shared" si="1"/>
        <v>1.5</v>
      </c>
      <c r="AW19" s="45">
        <v>0</v>
      </c>
      <c r="AX19" s="30">
        <f t="shared" si="2"/>
        <v>1</v>
      </c>
      <c r="AY19" s="31">
        <v>1</v>
      </c>
      <c r="AZ19" s="46">
        <v>1</v>
      </c>
      <c r="BA19" s="119">
        <f t="shared" si="25"/>
        <v>2</v>
      </c>
      <c r="BB19" s="30">
        <f t="shared" si="3"/>
        <v>2</v>
      </c>
      <c r="BC19" s="44" t="s">
        <v>105</v>
      </c>
      <c r="BD19" s="19">
        <f t="shared" si="26"/>
        <v>0</v>
      </c>
      <c r="BE19" s="19">
        <v>0</v>
      </c>
      <c r="BF19" s="47">
        <v>579519853.13</v>
      </c>
      <c r="BG19" s="117">
        <f t="shared" si="27"/>
        <v>0</v>
      </c>
      <c r="BH19" s="33">
        <f t="shared" si="28"/>
        <v>1</v>
      </c>
      <c r="BI19" s="36">
        <v>63571113.70999999</v>
      </c>
      <c r="BJ19" s="36">
        <v>67028628.82999998</v>
      </c>
      <c r="BK19" s="36">
        <v>47577385.030000016</v>
      </c>
      <c r="BL19" s="36">
        <v>118197405.37000006</v>
      </c>
      <c r="BM19" s="103">
        <f t="shared" si="4"/>
        <v>1.9901107451106061</v>
      </c>
      <c r="BN19" s="33">
        <f t="shared" si="29"/>
        <v>0</v>
      </c>
      <c r="BO19" s="36">
        <v>17683141.17</v>
      </c>
      <c r="BP19" s="36">
        <v>34631008.21</v>
      </c>
      <c r="BQ19" s="107">
        <f t="shared" si="30"/>
        <v>0.511</v>
      </c>
      <c r="BR19" s="22">
        <f t="shared" si="31"/>
        <v>0</v>
      </c>
      <c r="BS19" s="48" t="s">
        <v>24</v>
      </c>
      <c r="BT19" s="19">
        <f t="shared" si="32"/>
        <v>1</v>
      </c>
      <c r="BU19" s="35" t="s">
        <v>24</v>
      </c>
      <c r="BV19" s="35" t="s">
        <v>24</v>
      </c>
      <c r="BW19" s="36" t="s">
        <v>24</v>
      </c>
      <c r="BX19" s="33">
        <f t="shared" si="35"/>
        <v>1</v>
      </c>
      <c r="BY19" s="49" t="s">
        <v>24</v>
      </c>
      <c r="BZ19" s="50">
        <f t="shared" si="33"/>
        <v>1</v>
      </c>
      <c r="CA19" s="49" t="s">
        <v>24</v>
      </c>
      <c r="CB19" s="50">
        <f t="shared" si="34"/>
        <v>1</v>
      </c>
      <c r="CC19" s="124">
        <f t="shared" si="36"/>
        <v>18</v>
      </c>
      <c r="CD19" s="123">
        <v>0</v>
      </c>
      <c r="CE19" s="54"/>
    </row>
    <row r="20" spans="1:83" ht="12.75" customHeight="1">
      <c r="A20" s="18">
        <v>14</v>
      </c>
      <c r="B20" s="37" t="s">
        <v>122</v>
      </c>
      <c r="C20" s="39">
        <v>289271012.26</v>
      </c>
      <c r="D20" s="40">
        <v>292480311.87</v>
      </c>
      <c r="E20" s="108">
        <f t="shared" si="5"/>
        <v>0.989</v>
      </c>
      <c r="F20" s="22">
        <f t="shared" si="6"/>
        <v>1.5</v>
      </c>
      <c r="G20" s="42">
        <v>4</v>
      </c>
      <c r="H20" s="22">
        <f t="shared" si="39"/>
        <v>1</v>
      </c>
      <c r="I20" s="41">
        <v>77642209.34</v>
      </c>
      <c r="J20" s="24">
        <v>76161645.75</v>
      </c>
      <c r="K20" s="112">
        <f t="shared" si="7"/>
        <v>1.019</v>
      </c>
      <c r="L20" s="22">
        <f t="shared" si="8"/>
        <v>1</v>
      </c>
      <c r="M20" s="39">
        <v>77642209.34</v>
      </c>
      <c r="N20" s="21">
        <v>76069100</v>
      </c>
      <c r="O20" s="26">
        <f t="shared" si="9"/>
        <v>0.02068000462737174</v>
      </c>
      <c r="P20" s="43">
        <f t="shared" si="10"/>
        <v>1</v>
      </c>
      <c r="Q20" s="95">
        <v>0</v>
      </c>
      <c r="R20" s="95">
        <v>6</v>
      </c>
      <c r="S20" s="105">
        <f t="shared" si="11"/>
        <v>0</v>
      </c>
      <c r="T20" s="22">
        <f t="shared" si="12"/>
        <v>0</v>
      </c>
      <c r="U20" s="95">
        <v>6</v>
      </c>
      <c r="V20" s="95">
        <v>7</v>
      </c>
      <c r="W20" s="105">
        <f t="shared" si="13"/>
        <v>0.8571428571428571</v>
      </c>
      <c r="X20" s="22">
        <f t="shared" si="14"/>
        <v>1</v>
      </c>
      <c r="Y20" s="95">
        <v>92</v>
      </c>
      <c r="Z20" s="95">
        <v>117</v>
      </c>
      <c r="AA20" s="105">
        <f t="shared" si="15"/>
        <v>0.7863247863247863</v>
      </c>
      <c r="AB20" s="22">
        <f t="shared" si="16"/>
        <v>0</v>
      </c>
      <c r="AC20" s="27">
        <v>20000</v>
      </c>
      <c r="AD20" s="27">
        <v>217848267.04</v>
      </c>
      <c r="AE20" s="97">
        <f t="shared" si="17"/>
        <v>9.180701904012723E-05</v>
      </c>
      <c r="AF20" s="22">
        <f t="shared" si="38"/>
        <v>0</v>
      </c>
      <c r="AG20" s="98">
        <v>12273238.560000002</v>
      </c>
      <c r="AH20" s="98">
        <v>292480311.87</v>
      </c>
      <c r="AI20" s="105">
        <f t="shared" si="18"/>
        <v>0.042</v>
      </c>
      <c r="AJ20" s="22">
        <f t="shared" si="19"/>
        <v>0</v>
      </c>
      <c r="AK20" s="35" t="s">
        <v>24</v>
      </c>
      <c r="AL20" s="19">
        <f t="shared" si="20"/>
        <v>1</v>
      </c>
      <c r="AM20" s="44">
        <v>0</v>
      </c>
      <c r="AN20" s="22">
        <f t="shared" si="21"/>
        <v>3</v>
      </c>
      <c r="AO20" s="23">
        <v>8539350</v>
      </c>
      <c r="AP20" s="41">
        <v>9808860</v>
      </c>
      <c r="AQ20" s="97">
        <f t="shared" si="22"/>
        <v>0.8706</v>
      </c>
      <c r="AR20" s="22">
        <f t="shared" si="23"/>
        <v>1</v>
      </c>
      <c r="AS20" s="41">
        <v>77642209.34</v>
      </c>
      <c r="AT20" s="41">
        <v>70670887.81</v>
      </c>
      <c r="AU20" s="114">
        <f t="shared" si="24"/>
        <v>1.099</v>
      </c>
      <c r="AV20" s="22">
        <f t="shared" si="1"/>
        <v>1.5</v>
      </c>
      <c r="AW20" s="45">
        <v>0</v>
      </c>
      <c r="AX20" s="30">
        <f t="shared" si="2"/>
        <v>1</v>
      </c>
      <c r="AY20" s="31">
        <v>1</v>
      </c>
      <c r="AZ20" s="46">
        <v>1</v>
      </c>
      <c r="BA20" s="119">
        <f t="shared" si="25"/>
        <v>2</v>
      </c>
      <c r="BB20" s="30">
        <f t="shared" si="3"/>
        <v>2</v>
      </c>
      <c r="BC20" s="44" t="s">
        <v>105</v>
      </c>
      <c r="BD20" s="19">
        <f t="shared" si="26"/>
        <v>0</v>
      </c>
      <c r="BE20" s="19">
        <v>0</v>
      </c>
      <c r="BF20" s="47">
        <v>201317304.72</v>
      </c>
      <c r="BG20" s="117">
        <f t="shared" si="27"/>
        <v>0</v>
      </c>
      <c r="BH20" s="33">
        <f t="shared" si="28"/>
        <v>1</v>
      </c>
      <c r="BI20" s="36">
        <v>33460968.51</v>
      </c>
      <c r="BJ20" s="36">
        <v>29077771.429999996</v>
      </c>
      <c r="BK20" s="36">
        <v>21713200.669999987</v>
      </c>
      <c r="BL20" s="36">
        <v>36701067.98000002</v>
      </c>
      <c r="BM20" s="103">
        <f t="shared" si="4"/>
        <v>1.306832853259308</v>
      </c>
      <c r="BN20" s="33">
        <f t="shared" si="29"/>
        <v>0</v>
      </c>
      <c r="BO20" s="36">
        <v>5084114.83</v>
      </c>
      <c r="BP20" s="36">
        <v>7931112.12</v>
      </c>
      <c r="BQ20" s="107">
        <f t="shared" si="30"/>
        <v>0.641</v>
      </c>
      <c r="BR20" s="22">
        <f t="shared" si="31"/>
        <v>0</v>
      </c>
      <c r="BS20" s="48" t="s">
        <v>24</v>
      </c>
      <c r="BT20" s="19">
        <f t="shared" si="32"/>
        <v>1</v>
      </c>
      <c r="BU20" s="35" t="s">
        <v>24</v>
      </c>
      <c r="BV20" s="35" t="s">
        <v>24</v>
      </c>
      <c r="BW20" s="36" t="s">
        <v>106</v>
      </c>
      <c r="BX20" s="33">
        <f t="shared" si="35"/>
        <v>0</v>
      </c>
      <c r="BY20" s="49" t="s">
        <v>24</v>
      </c>
      <c r="BZ20" s="50">
        <f t="shared" si="33"/>
        <v>1</v>
      </c>
      <c r="CA20" s="49" t="s">
        <v>107</v>
      </c>
      <c r="CB20" s="50">
        <f t="shared" si="34"/>
        <v>0</v>
      </c>
      <c r="CC20" s="124">
        <f t="shared" si="36"/>
        <v>18</v>
      </c>
      <c r="CD20" s="123">
        <f t="shared" si="37"/>
        <v>18</v>
      </c>
      <c r="CE20" s="54"/>
    </row>
    <row r="21" spans="1:83" ht="12.75" customHeight="1">
      <c r="A21" s="18">
        <v>15</v>
      </c>
      <c r="B21" s="37" t="s">
        <v>123</v>
      </c>
      <c r="C21" s="39">
        <v>695178908.44</v>
      </c>
      <c r="D21" s="40">
        <v>698609794.46</v>
      </c>
      <c r="E21" s="108">
        <f t="shared" si="5"/>
        <v>0.995</v>
      </c>
      <c r="F21" s="22">
        <f t="shared" si="6"/>
        <v>1.5</v>
      </c>
      <c r="G21" s="42">
        <v>10</v>
      </c>
      <c r="H21" s="22">
        <f t="shared" si="39"/>
        <v>0</v>
      </c>
      <c r="I21" s="41">
        <v>274705625.08</v>
      </c>
      <c r="J21" s="24">
        <v>264764454</v>
      </c>
      <c r="K21" s="112">
        <f t="shared" si="7"/>
        <v>1.038</v>
      </c>
      <c r="L21" s="22">
        <f t="shared" si="8"/>
        <v>1</v>
      </c>
      <c r="M21" s="39">
        <v>274705625.08</v>
      </c>
      <c r="N21" s="21">
        <v>271724900</v>
      </c>
      <c r="O21" s="26">
        <f t="shared" si="9"/>
        <v>0.01096964275265161</v>
      </c>
      <c r="P21" s="43">
        <f t="shared" si="10"/>
        <v>1</v>
      </c>
      <c r="Q21" s="95">
        <v>0</v>
      </c>
      <c r="R21" s="95">
        <v>8</v>
      </c>
      <c r="S21" s="105">
        <f t="shared" si="11"/>
        <v>0</v>
      </c>
      <c r="T21" s="22">
        <f t="shared" si="12"/>
        <v>0</v>
      </c>
      <c r="U21" s="95">
        <v>2</v>
      </c>
      <c r="V21" s="95">
        <v>9</v>
      </c>
      <c r="W21" s="105">
        <f t="shared" si="13"/>
        <v>0.2222222222222222</v>
      </c>
      <c r="X21" s="22">
        <f t="shared" si="14"/>
        <v>0</v>
      </c>
      <c r="Y21" s="95">
        <v>100</v>
      </c>
      <c r="Z21" s="95">
        <v>117</v>
      </c>
      <c r="AA21" s="105">
        <f t="shared" si="15"/>
        <v>0.8547008547008547</v>
      </c>
      <c r="AB21" s="22">
        <f t="shared" si="16"/>
        <v>1</v>
      </c>
      <c r="AC21" s="27">
        <v>200000</v>
      </c>
      <c r="AD21" s="27">
        <v>494549515.68</v>
      </c>
      <c r="AE21" s="97">
        <f t="shared" si="17"/>
        <v>0.000404408443763214</v>
      </c>
      <c r="AF21" s="22">
        <f t="shared" si="38"/>
        <v>0</v>
      </c>
      <c r="AG21" s="98">
        <v>55581473.410000086</v>
      </c>
      <c r="AH21" s="98">
        <v>698609794.46</v>
      </c>
      <c r="AI21" s="105">
        <f t="shared" si="18"/>
        <v>0.08</v>
      </c>
      <c r="AJ21" s="22">
        <f t="shared" si="19"/>
        <v>0</v>
      </c>
      <c r="AK21" s="35" t="s">
        <v>105</v>
      </c>
      <c r="AL21" s="19">
        <f t="shared" si="20"/>
        <v>0</v>
      </c>
      <c r="AM21" s="44">
        <v>0</v>
      </c>
      <c r="AN21" s="22">
        <f t="shared" si="21"/>
        <v>3</v>
      </c>
      <c r="AO21" s="23">
        <v>44164160</v>
      </c>
      <c r="AP21" s="41">
        <v>48715210.00000001</v>
      </c>
      <c r="AQ21" s="97">
        <f t="shared" si="22"/>
        <v>0.9066</v>
      </c>
      <c r="AR21" s="22">
        <f t="shared" si="23"/>
        <v>1</v>
      </c>
      <c r="AS21" s="41">
        <v>274705625.08</v>
      </c>
      <c r="AT21" s="41">
        <v>245872254.38</v>
      </c>
      <c r="AU21" s="114">
        <f t="shared" si="24"/>
        <v>1.117</v>
      </c>
      <c r="AV21" s="22">
        <f t="shared" si="1"/>
        <v>1.5</v>
      </c>
      <c r="AW21" s="45">
        <v>0</v>
      </c>
      <c r="AX21" s="30">
        <f t="shared" si="2"/>
        <v>1</v>
      </c>
      <c r="AY21" s="31">
        <v>1</v>
      </c>
      <c r="AZ21" s="46">
        <v>1</v>
      </c>
      <c r="BA21" s="119">
        <f t="shared" si="25"/>
        <v>2</v>
      </c>
      <c r="BB21" s="30">
        <f t="shared" si="3"/>
        <v>2</v>
      </c>
      <c r="BC21" s="44" t="s">
        <v>105</v>
      </c>
      <c r="BD21" s="19">
        <f t="shared" si="26"/>
        <v>0</v>
      </c>
      <c r="BE21" s="19">
        <v>0</v>
      </c>
      <c r="BF21" s="47">
        <v>390534903.65</v>
      </c>
      <c r="BG21" s="117">
        <f t="shared" si="27"/>
        <v>0</v>
      </c>
      <c r="BH21" s="33">
        <f t="shared" si="28"/>
        <v>1</v>
      </c>
      <c r="BI21" s="36">
        <v>74415379.50999999</v>
      </c>
      <c r="BJ21" s="36">
        <v>73230669.70999998</v>
      </c>
      <c r="BK21" s="36">
        <v>59577190.639999986</v>
      </c>
      <c r="BL21" s="36">
        <v>103595367.54000002</v>
      </c>
      <c r="BM21" s="103">
        <f t="shared" si="4"/>
        <v>1.499764711863241</v>
      </c>
      <c r="BN21" s="33">
        <f t="shared" si="29"/>
        <v>0</v>
      </c>
      <c r="BO21" s="36">
        <v>17367927.44</v>
      </c>
      <c r="BP21" s="36">
        <v>28063139.49</v>
      </c>
      <c r="BQ21" s="107">
        <f t="shared" si="30"/>
        <v>0.619</v>
      </c>
      <c r="BR21" s="22">
        <f t="shared" si="31"/>
        <v>0</v>
      </c>
      <c r="BS21" s="48" t="s">
        <v>24</v>
      </c>
      <c r="BT21" s="19">
        <f t="shared" si="32"/>
        <v>1</v>
      </c>
      <c r="BU21" s="35" t="s">
        <v>24</v>
      </c>
      <c r="BV21" s="35" t="s">
        <v>24</v>
      </c>
      <c r="BW21" s="36" t="s">
        <v>24</v>
      </c>
      <c r="BX21" s="33">
        <f t="shared" si="35"/>
        <v>1</v>
      </c>
      <c r="BY21" s="49" t="s">
        <v>24</v>
      </c>
      <c r="BZ21" s="50">
        <f t="shared" si="33"/>
        <v>1</v>
      </c>
      <c r="CA21" s="49" t="s">
        <v>107</v>
      </c>
      <c r="CB21" s="50">
        <f t="shared" si="34"/>
        <v>0</v>
      </c>
      <c r="CC21" s="124">
        <f>F21+H21+L21+P21+T21+X21+AB21+AF21+AJ21+AL21+AN21+AR21+AV21+AX21+BB21+BD21+BH21+BN21+BR21+BT21+BX21+BZ21+CB21</f>
        <v>17</v>
      </c>
      <c r="CD21" s="123">
        <f t="shared" si="37"/>
        <v>17</v>
      </c>
      <c r="CE21" s="54"/>
    </row>
    <row r="22" spans="1:83" ht="12.75" customHeight="1">
      <c r="A22" s="18">
        <v>16</v>
      </c>
      <c r="B22" s="37" t="s">
        <v>124</v>
      </c>
      <c r="C22" s="39">
        <v>331581554.04999995</v>
      </c>
      <c r="D22" s="40">
        <v>333783424.05</v>
      </c>
      <c r="E22" s="108">
        <f t="shared" si="5"/>
        <v>0.993</v>
      </c>
      <c r="F22" s="22">
        <f t="shared" si="6"/>
        <v>1.5</v>
      </c>
      <c r="G22" s="42">
        <v>3</v>
      </c>
      <c r="H22" s="22">
        <f t="shared" si="39"/>
        <v>1</v>
      </c>
      <c r="I22" s="41">
        <v>110652170.2</v>
      </c>
      <c r="J22" s="24">
        <v>109143538</v>
      </c>
      <c r="K22" s="112">
        <f t="shared" si="7"/>
        <v>1.014</v>
      </c>
      <c r="L22" s="22">
        <f t="shared" si="8"/>
        <v>1</v>
      </c>
      <c r="M22" s="39">
        <v>110652170.2</v>
      </c>
      <c r="N22" s="21">
        <v>96527400</v>
      </c>
      <c r="O22" s="26">
        <f t="shared" si="9"/>
        <v>0.14632912727370678</v>
      </c>
      <c r="P22" s="43">
        <f t="shared" si="10"/>
        <v>0</v>
      </c>
      <c r="Q22" s="95">
        <v>6</v>
      </c>
      <c r="R22" s="95">
        <v>6</v>
      </c>
      <c r="S22" s="105">
        <f t="shared" si="11"/>
        <v>1</v>
      </c>
      <c r="T22" s="22">
        <f t="shared" si="12"/>
        <v>1</v>
      </c>
      <c r="U22" s="95">
        <v>3</v>
      </c>
      <c r="V22" s="95">
        <v>7</v>
      </c>
      <c r="W22" s="105">
        <f t="shared" si="13"/>
        <v>0.42857142857142855</v>
      </c>
      <c r="X22" s="22">
        <f t="shared" si="14"/>
        <v>0</v>
      </c>
      <c r="Y22" s="95">
        <v>107</v>
      </c>
      <c r="Z22" s="95">
        <v>117</v>
      </c>
      <c r="AA22" s="105">
        <f t="shared" si="15"/>
        <v>0.9145299145299145</v>
      </c>
      <c r="AB22" s="22">
        <f t="shared" si="16"/>
        <v>2</v>
      </c>
      <c r="AC22" s="27">
        <v>200000</v>
      </c>
      <c r="AD22" s="27">
        <v>263978145.98</v>
      </c>
      <c r="AE22" s="97">
        <f t="shared" si="17"/>
        <v>0.000757638475175717</v>
      </c>
      <c r="AF22" s="22">
        <f t="shared" si="38"/>
        <v>0</v>
      </c>
      <c r="AG22" s="98">
        <v>24171341.71000004</v>
      </c>
      <c r="AH22" s="98">
        <v>333783424.05</v>
      </c>
      <c r="AI22" s="105">
        <f t="shared" si="18"/>
        <v>0.072</v>
      </c>
      <c r="AJ22" s="22">
        <f t="shared" si="19"/>
        <v>0</v>
      </c>
      <c r="AK22" s="35" t="s">
        <v>24</v>
      </c>
      <c r="AL22" s="19">
        <f t="shared" si="20"/>
        <v>1</v>
      </c>
      <c r="AM22" s="44">
        <v>0</v>
      </c>
      <c r="AN22" s="22">
        <f t="shared" si="21"/>
        <v>3</v>
      </c>
      <c r="AO22" s="23">
        <v>6209610</v>
      </c>
      <c r="AP22" s="41">
        <v>7657709.999999999</v>
      </c>
      <c r="AQ22" s="97">
        <f t="shared" si="22"/>
        <v>0.8109</v>
      </c>
      <c r="AR22" s="22">
        <f t="shared" si="23"/>
        <v>1</v>
      </c>
      <c r="AS22" s="41">
        <v>110652170.2</v>
      </c>
      <c r="AT22" s="41">
        <v>101966354.85</v>
      </c>
      <c r="AU22" s="114">
        <f t="shared" si="24"/>
        <v>1.085</v>
      </c>
      <c r="AV22" s="22">
        <f t="shared" si="1"/>
        <v>1.5</v>
      </c>
      <c r="AW22" s="45">
        <v>0</v>
      </c>
      <c r="AX22" s="30">
        <f t="shared" si="2"/>
        <v>1</v>
      </c>
      <c r="AY22" s="31">
        <v>1</v>
      </c>
      <c r="AZ22" s="46">
        <v>1</v>
      </c>
      <c r="BA22" s="119">
        <f t="shared" si="25"/>
        <v>2</v>
      </c>
      <c r="BB22" s="30">
        <f t="shared" si="3"/>
        <v>2</v>
      </c>
      <c r="BC22" s="44" t="s">
        <v>24</v>
      </c>
      <c r="BD22" s="19">
        <f t="shared" si="26"/>
        <v>1</v>
      </c>
      <c r="BE22" s="19">
        <v>0</v>
      </c>
      <c r="BF22" s="47">
        <v>211812564.92</v>
      </c>
      <c r="BG22" s="117">
        <f t="shared" si="27"/>
        <v>0</v>
      </c>
      <c r="BH22" s="33">
        <f t="shared" si="28"/>
        <v>1</v>
      </c>
      <c r="BI22" s="36">
        <v>34446480.260000005</v>
      </c>
      <c r="BJ22" s="36">
        <v>36829653.099999994</v>
      </c>
      <c r="BK22" s="36">
        <v>35017873.730000004</v>
      </c>
      <c r="BL22" s="36">
        <v>57226130.32999998</v>
      </c>
      <c r="BM22" s="103">
        <f t="shared" si="4"/>
        <v>1.615127660439393</v>
      </c>
      <c r="BN22" s="33">
        <f t="shared" si="29"/>
        <v>0</v>
      </c>
      <c r="BO22" s="36">
        <v>5184572.14</v>
      </c>
      <c r="BP22" s="36">
        <v>8729184.19</v>
      </c>
      <c r="BQ22" s="107">
        <f t="shared" si="30"/>
        <v>0.594</v>
      </c>
      <c r="BR22" s="22">
        <f t="shared" si="31"/>
        <v>0</v>
      </c>
      <c r="BS22" s="48" t="s">
        <v>24</v>
      </c>
      <c r="BT22" s="19">
        <f t="shared" si="32"/>
        <v>1</v>
      </c>
      <c r="BU22" s="35" t="s">
        <v>24</v>
      </c>
      <c r="BV22" s="35" t="s">
        <v>24</v>
      </c>
      <c r="BW22" s="36" t="s">
        <v>24</v>
      </c>
      <c r="BX22" s="33">
        <f t="shared" si="35"/>
        <v>1</v>
      </c>
      <c r="BY22" s="49" t="s">
        <v>24</v>
      </c>
      <c r="BZ22" s="50">
        <f t="shared" si="33"/>
        <v>1</v>
      </c>
      <c r="CA22" s="49" t="s">
        <v>24</v>
      </c>
      <c r="CB22" s="50">
        <f t="shared" si="34"/>
        <v>1</v>
      </c>
      <c r="CC22" s="124">
        <f t="shared" si="36"/>
        <v>22</v>
      </c>
      <c r="CD22" s="123">
        <f t="shared" si="37"/>
        <v>22</v>
      </c>
      <c r="CE22" s="54"/>
    </row>
    <row r="23" spans="1:83" ht="12.75" customHeight="1">
      <c r="A23" s="18">
        <v>17</v>
      </c>
      <c r="B23" s="37" t="s">
        <v>125</v>
      </c>
      <c r="C23" s="39">
        <v>655784187.29</v>
      </c>
      <c r="D23" s="40">
        <v>658200234.43</v>
      </c>
      <c r="E23" s="108">
        <f t="shared" si="5"/>
        <v>0.996</v>
      </c>
      <c r="F23" s="22">
        <f t="shared" si="6"/>
        <v>1.5</v>
      </c>
      <c r="G23" s="42">
        <v>9</v>
      </c>
      <c r="H23" s="22">
        <f t="shared" si="39"/>
        <v>0</v>
      </c>
      <c r="I23" s="41">
        <v>205632087.54</v>
      </c>
      <c r="J23" s="24">
        <v>207871236.91</v>
      </c>
      <c r="K23" s="112">
        <f t="shared" si="7"/>
        <v>0.989</v>
      </c>
      <c r="L23" s="22">
        <f t="shared" si="8"/>
        <v>0</v>
      </c>
      <c r="M23" s="39">
        <v>205632087.54</v>
      </c>
      <c r="N23" s="21">
        <v>202986000</v>
      </c>
      <c r="O23" s="26">
        <f t="shared" si="9"/>
        <v>0.013035813011734758</v>
      </c>
      <c r="P23" s="43">
        <f t="shared" si="10"/>
        <v>1</v>
      </c>
      <c r="Q23" s="95">
        <v>14</v>
      </c>
      <c r="R23" s="95">
        <v>15</v>
      </c>
      <c r="S23" s="105">
        <f t="shared" si="11"/>
        <v>0.9333333333333333</v>
      </c>
      <c r="T23" s="22">
        <f t="shared" si="12"/>
        <v>1</v>
      </c>
      <c r="U23" s="95">
        <v>4</v>
      </c>
      <c r="V23" s="95">
        <v>16</v>
      </c>
      <c r="W23" s="105">
        <f t="shared" si="13"/>
        <v>0.25</v>
      </c>
      <c r="X23" s="22">
        <f t="shared" si="14"/>
        <v>0</v>
      </c>
      <c r="Y23" s="95">
        <v>70</v>
      </c>
      <c r="Z23" s="95">
        <v>117</v>
      </c>
      <c r="AA23" s="105">
        <f t="shared" si="15"/>
        <v>0.5982905982905983</v>
      </c>
      <c r="AB23" s="22">
        <f t="shared" si="16"/>
        <v>0</v>
      </c>
      <c r="AC23" s="27">
        <v>107000</v>
      </c>
      <c r="AD23" s="27">
        <v>478562101.71999997</v>
      </c>
      <c r="AE23" s="97">
        <f t="shared" si="17"/>
        <v>0.0002235864470158237</v>
      </c>
      <c r="AF23" s="22">
        <f t="shared" si="38"/>
        <v>0</v>
      </c>
      <c r="AG23" s="98">
        <v>18849340.25</v>
      </c>
      <c r="AH23" s="98">
        <v>658200234.43</v>
      </c>
      <c r="AI23" s="105">
        <f t="shared" si="18"/>
        <v>0.029</v>
      </c>
      <c r="AJ23" s="22">
        <f t="shared" si="19"/>
        <v>0</v>
      </c>
      <c r="AK23" s="35" t="s">
        <v>24</v>
      </c>
      <c r="AL23" s="19">
        <f t="shared" si="20"/>
        <v>1</v>
      </c>
      <c r="AM23" s="44">
        <v>0</v>
      </c>
      <c r="AN23" s="22">
        <f t="shared" si="21"/>
        <v>3</v>
      </c>
      <c r="AO23" s="23">
        <v>9736210</v>
      </c>
      <c r="AP23" s="41">
        <v>8540070</v>
      </c>
      <c r="AQ23" s="97">
        <f t="shared" si="22"/>
        <v>1.1401</v>
      </c>
      <c r="AR23" s="22">
        <f t="shared" si="23"/>
        <v>0</v>
      </c>
      <c r="AS23" s="41">
        <v>205632087.54</v>
      </c>
      <c r="AT23" s="41">
        <v>200776419.6</v>
      </c>
      <c r="AU23" s="114">
        <f t="shared" si="24"/>
        <v>1.024</v>
      </c>
      <c r="AV23" s="22">
        <f t="shared" si="1"/>
        <v>1</v>
      </c>
      <c r="AW23" s="45">
        <v>0</v>
      </c>
      <c r="AX23" s="30">
        <f t="shared" si="2"/>
        <v>1</v>
      </c>
      <c r="AY23" s="31">
        <v>1</v>
      </c>
      <c r="AZ23" s="46">
        <v>1</v>
      </c>
      <c r="BA23" s="119">
        <f t="shared" si="25"/>
        <v>2</v>
      </c>
      <c r="BB23" s="30">
        <f t="shared" si="3"/>
        <v>2</v>
      </c>
      <c r="BC23" s="44" t="s">
        <v>24</v>
      </c>
      <c r="BD23" s="19">
        <f t="shared" si="26"/>
        <v>1</v>
      </c>
      <c r="BE23" s="19">
        <v>0</v>
      </c>
      <c r="BF23" s="47">
        <v>435800345.76</v>
      </c>
      <c r="BG23" s="117">
        <f t="shared" si="27"/>
        <v>0</v>
      </c>
      <c r="BH23" s="33">
        <f t="shared" si="28"/>
        <v>1</v>
      </c>
      <c r="BI23" s="36">
        <v>69174648.88</v>
      </c>
      <c r="BJ23" s="36">
        <v>63444771.01999998</v>
      </c>
      <c r="BK23" s="36">
        <v>62337288.360000014</v>
      </c>
      <c r="BL23" s="36">
        <v>105460877.15999997</v>
      </c>
      <c r="BM23" s="103">
        <f t="shared" si="4"/>
        <v>1.622835317151861</v>
      </c>
      <c r="BN23" s="33">
        <f t="shared" si="29"/>
        <v>0</v>
      </c>
      <c r="BO23" s="36">
        <v>16550735.05</v>
      </c>
      <c r="BP23" s="36">
        <v>24125253.09</v>
      </c>
      <c r="BQ23" s="107">
        <f t="shared" si="30"/>
        <v>0.686</v>
      </c>
      <c r="BR23" s="22">
        <f t="shared" si="31"/>
        <v>0</v>
      </c>
      <c r="BS23" s="48" t="s">
        <v>24</v>
      </c>
      <c r="BT23" s="19">
        <f t="shared" si="32"/>
        <v>1</v>
      </c>
      <c r="BU23" s="49" t="s">
        <v>24</v>
      </c>
      <c r="BV23" s="35" t="s">
        <v>24</v>
      </c>
      <c r="BW23" s="36" t="s">
        <v>105</v>
      </c>
      <c r="BX23" s="33">
        <f t="shared" si="35"/>
        <v>0</v>
      </c>
      <c r="BY23" s="49" t="s">
        <v>24</v>
      </c>
      <c r="BZ23" s="50">
        <f t="shared" si="33"/>
        <v>1</v>
      </c>
      <c r="CA23" s="49" t="s">
        <v>24</v>
      </c>
      <c r="CB23" s="50">
        <f t="shared" si="34"/>
        <v>1</v>
      </c>
      <c r="CC23" s="124">
        <f>F23+H23+L23+P23+T23+X23+AB23+AF23+AJ23+AL23+AN23+AR23+AV23+AX23+BB23+BD23+BH23+BN23+BR23+BT23+BX23+BZ23+CB23</f>
        <v>16.5</v>
      </c>
      <c r="CD23" s="123">
        <f t="shared" si="37"/>
        <v>16.5</v>
      </c>
      <c r="CE23" s="54"/>
    </row>
    <row r="24" spans="1:83" ht="12.75" customHeight="1">
      <c r="A24" s="18">
        <v>18</v>
      </c>
      <c r="B24" s="37" t="s">
        <v>126</v>
      </c>
      <c r="C24" s="39">
        <v>405888125.56</v>
      </c>
      <c r="D24" s="40">
        <v>411552115.92</v>
      </c>
      <c r="E24" s="108">
        <f t="shared" si="5"/>
        <v>0.986</v>
      </c>
      <c r="F24" s="22">
        <f t="shared" si="6"/>
        <v>1.5</v>
      </c>
      <c r="G24" s="42">
        <v>10</v>
      </c>
      <c r="H24" s="22">
        <f t="shared" si="39"/>
        <v>0</v>
      </c>
      <c r="I24" s="41">
        <v>112590167.79</v>
      </c>
      <c r="J24" s="24">
        <v>117942100</v>
      </c>
      <c r="K24" s="112">
        <f t="shared" si="7"/>
        <v>0.955</v>
      </c>
      <c r="L24" s="22">
        <f t="shared" si="8"/>
        <v>0</v>
      </c>
      <c r="M24" s="39">
        <v>112590167.79</v>
      </c>
      <c r="N24" s="21">
        <v>131510000</v>
      </c>
      <c r="O24" s="26">
        <f t="shared" si="9"/>
        <v>0.14386611063797425</v>
      </c>
      <c r="P24" s="43">
        <f t="shared" si="10"/>
        <v>0</v>
      </c>
      <c r="Q24" s="95">
        <v>9</v>
      </c>
      <c r="R24" s="95">
        <v>9</v>
      </c>
      <c r="S24" s="105">
        <f t="shared" si="11"/>
        <v>1</v>
      </c>
      <c r="T24" s="22">
        <f t="shared" si="12"/>
        <v>1</v>
      </c>
      <c r="U24" s="95">
        <v>8</v>
      </c>
      <c r="V24" s="95">
        <v>10</v>
      </c>
      <c r="W24" s="105">
        <f t="shared" si="13"/>
        <v>0.8</v>
      </c>
      <c r="X24" s="22">
        <f t="shared" si="14"/>
        <v>1</v>
      </c>
      <c r="Y24" s="95">
        <v>86</v>
      </c>
      <c r="Z24" s="95">
        <v>117</v>
      </c>
      <c r="AA24" s="105">
        <f t="shared" si="15"/>
        <v>0.7350427350427351</v>
      </c>
      <c r="AB24" s="22">
        <f t="shared" si="16"/>
        <v>0</v>
      </c>
      <c r="AC24" s="27">
        <v>100000</v>
      </c>
      <c r="AD24" s="27">
        <v>358879638.48999995</v>
      </c>
      <c r="AE24" s="97">
        <f t="shared" si="17"/>
        <v>0.0002786449530008275</v>
      </c>
      <c r="AF24" s="22">
        <f t="shared" si="38"/>
        <v>0</v>
      </c>
      <c r="AG24" s="98">
        <v>16026032.870000005</v>
      </c>
      <c r="AH24" s="98">
        <v>411552115.92</v>
      </c>
      <c r="AI24" s="105">
        <f t="shared" si="18"/>
        <v>0.039</v>
      </c>
      <c r="AJ24" s="22">
        <f t="shared" si="19"/>
        <v>0</v>
      </c>
      <c r="AK24" s="35" t="s">
        <v>24</v>
      </c>
      <c r="AL24" s="19">
        <f t="shared" si="20"/>
        <v>1</v>
      </c>
      <c r="AM24" s="44">
        <v>0</v>
      </c>
      <c r="AN24" s="22">
        <f t="shared" si="21"/>
        <v>3</v>
      </c>
      <c r="AO24" s="23">
        <v>5206370.000000001</v>
      </c>
      <c r="AP24" s="41">
        <v>6552940.000000001</v>
      </c>
      <c r="AQ24" s="97">
        <f t="shared" si="22"/>
        <v>0.7945</v>
      </c>
      <c r="AR24" s="22">
        <f t="shared" si="23"/>
        <v>1</v>
      </c>
      <c r="AS24" s="41">
        <v>112590167.79</v>
      </c>
      <c r="AT24" s="41">
        <v>116717764.55</v>
      </c>
      <c r="AU24" s="114">
        <f t="shared" si="24"/>
        <v>0.965</v>
      </c>
      <c r="AV24" s="22">
        <f t="shared" si="1"/>
        <v>0</v>
      </c>
      <c r="AW24" s="45">
        <v>0</v>
      </c>
      <c r="AX24" s="30">
        <f t="shared" si="2"/>
        <v>1</v>
      </c>
      <c r="AY24" s="31">
        <v>1</v>
      </c>
      <c r="AZ24" s="46">
        <v>1</v>
      </c>
      <c r="BA24" s="119">
        <f t="shared" si="25"/>
        <v>2</v>
      </c>
      <c r="BB24" s="30">
        <f t="shared" si="3"/>
        <v>2</v>
      </c>
      <c r="BC24" s="44" t="s">
        <v>105</v>
      </c>
      <c r="BD24" s="19">
        <f t="shared" si="26"/>
        <v>0</v>
      </c>
      <c r="BE24" s="19">
        <v>0</v>
      </c>
      <c r="BF24" s="47">
        <v>270442530.88</v>
      </c>
      <c r="BG24" s="117">
        <f t="shared" si="27"/>
        <v>0</v>
      </c>
      <c r="BH24" s="33">
        <f t="shared" si="28"/>
        <v>1</v>
      </c>
      <c r="BI24" s="36">
        <v>40024302.69</v>
      </c>
      <c r="BJ24" s="36">
        <v>35890526.25</v>
      </c>
      <c r="BK24" s="36">
        <v>32825796.70999998</v>
      </c>
      <c r="BL24" s="36">
        <v>66167986.52000007</v>
      </c>
      <c r="BM24" s="103">
        <f t="shared" si="4"/>
        <v>1.825481124220479</v>
      </c>
      <c r="BN24" s="33">
        <f t="shared" si="29"/>
        <v>0</v>
      </c>
      <c r="BO24" s="36">
        <v>4533932.33</v>
      </c>
      <c r="BP24" s="36">
        <v>7690024.35</v>
      </c>
      <c r="BQ24" s="107">
        <f t="shared" si="30"/>
        <v>0.59</v>
      </c>
      <c r="BR24" s="22">
        <f t="shared" si="31"/>
        <v>0</v>
      </c>
      <c r="BS24" s="48" t="s">
        <v>24</v>
      </c>
      <c r="BT24" s="19">
        <f t="shared" si="32"/>
        <v>1</v>
      </c>
      <c r="BU24" s="35" t="s">
        <v>24</v>
      </c>
      <c r="BV24" s="35" t="s">
        <v>24</v>
      </c>
      <c r="BW24" s="36" t="s">
        <v>24</v>
      </c>
      <c r="BX24" s="33">
        <f t="shared" si="35"/>
        <v>1</v>
      </c>
      <c r="BY24" s="49" t="s">
        <v>24</v>
      </c>
      <c r="BZ24" s="50">
        <f t="shared" si="33"/>
        <v>1</v>
      </c>
      <c r="CA24" s="49" t="s">
        <v>107</v>
      </c>
      <c r="CB24" s="50">
        <f t="shared" si="34"/>
        <v>0</v>
      </c>
      <c r="CC24" s="124">
        <f t="shared" si="36"/>
        <v>15.5</v>
      </c>
      <c r="CD24" s="123">
        <f t="shared" si="37"/>
        <v>15.5</v>
      </c>
      <c r="CE24" s="54"/>
    </row>
    <row r="25" spans="1:86" s="55" customFormat="1" ht="12.75" customHeight="1">
      <c r="A25" s="18">
        <v>19</v>
      </c>
      <c r="B25" s="37" t="s">
        <v>127</v>
      </c>
      <c r="C25" s="39">
        <v>398635079.92</v>
      </c>
      <c r="D25" s="40">
        <v>401196210.32</v>
      </c>
      <c r="E25" s="108">
        <f t="shared" si="5"/>
        <v>0.994</v>
      </c>
      <c r="F25" s="22">
        <f t="shared" si="6"/>
        <v>1.5</v>
      </c>
      <c r="G25" s="42">
        <v>6</v>
      </c>
      <c r="H25" s="22">
        <f t="shared" si="39"/>
        <v>0</v>
      </c>
      <c r="I25" s="41">
        <v>135473207.91</v>
      </c>
      <c r="J25" s="24">
        <v>128953304</v>
      </c>
      <c r="K25" s="112">
        <f t="shared" si="7"/>
        <v>1.051</v>
      </c>
      <c r="L25" s="22">
        <f t="shared" si="8"/>
        <v>1</v>
      </c>
      <c r="M25" s="39">
        <v>135473207.91</v>
      </c>
      <c r="N25" s="21">
        <v>122239000</v>
      </c>
      <c r="O25" s="26">
        <f t="shared" si="9"/>
        <v>0.1082650210652901</v>
      </c>
      <c r="P25" s="43">
        <f t="shared" si="10"/>
        <v>0</v>
      </c>
      <c r="Q25" s="95">
        <v>0</v>
      </c>
      <c r="R25" s="95">
        <v>8</v>
      </c>
      <c r="S25" s="105">
        <f t="shared" si="11"/>
        <v>0</v>
      </c>
      <c r="T25" s="22">
        <f t="shared" si="12"/>
        <v>0</v>
      </c>
      <c r="U25" s="95">
        <v>3</v>
      </c>
      <c r="V25" s="95">
        <v>9</v>
      </c>
      <c r="W25" s="105">
        <f t="shared" si="13"/>
        <v>0.3333333333333333</v>
      </c>
      <c r="X25" s="22">
        <f t="shared" si="14"/>
        <v>0</v>
      </c>
      <c r="Y25" s="95">
        <v>91</v>
      </c>
      <c r="Z25" s="95">
        <v>117</v>
      </c>
      <c r="AA25" s="105">
        <f t="shared" si="15"/>
        <v>0.7777777777777778</v>
      </c>
      <c r="AB25" s="22">
        <f t="shared" si="16"/>
        <v>0</v>
      </c>
      <c r="AC25" s="27">
        <v>200000</v>
      </c>
      <c r="AD25" s="27">
        <v>310894748.6</v>
      </c>
      <c r="AE25" s="97">
        <f t="shared" si="17"/>
        <v>0.0006433045295896001</v>
      </c>
      <c r="AF25" s="22">
        <f t="shared" si="38"/>
        <v>0</v>
      </c>
      <c r="AG25" s="98">
        <v>13785801.560000002</v>
      </c>
      <c r="AH25" s="98">
        <v>401196210.32</v>
      </c>
      <c r="AI25" s="105">
        <f t="shared" si="18"/>
        <v>0.034</v>
      </c>
      <c r="AJ25" s="22">
        <f t="shared" si="19"/>
        <v>0</v>
      </c>
      <c r="AK25" s="35" t="s">
        <v>24</v>
      </c>
      <c r="AL25" s="19">
        <f t="shared" si="20"/>
        <v>1</v>
      </c>
      <c r="AM25" s="44">
        <v>0</v>
      </c>
      <c r="AN25" s="22">
        <f t="shared" si="21"/>
        <v>3</v>
      </c>
      <c r="AO25" s="23">
        <v>7717599.999999999</v>
      </c>
      <c r="AP25" s="41">
        <v>16670440.000000002</v>
      </c>
      <c r="AQ25" s="97">
        <f t="shared" si="22"/>
        <v>0.463</v>
      </c>
      <c r="AR25" s="22">
        <f t="shared" si="23"/>
        <v>1</v>
      </c>
      <c r="AS25" s="41">
        <v>135473207.91</v>
      </c>
      <c r="AT25" s="41">
        <v>125008801.01</v>
      </c>
      <c r="AU25" s="114">
        <f t="shared" si="24"/>
        <v>1.084</v>
      </c>
      <c r="AV25" s="22">
        <f t="shared" si="1"/>
        <v>1.5</v>
      </c>
      <c r="AW25" s="45">
        <v>0</v>
      </c>
      <c r="AX25" s="30">
        <f t="shared" si="2"/>
        <v>1</v>
      </c>
      <c r="AY25" s="31">
        <v>1</v>
      </c>
      <c r="AZ25" s="46">
        <v>1</v>
      </c>
      <c r="BA25" s="119">
        <f t="shared" si="25"/>
        <v>2</v>
      </c>
      <c r="BB25" s="30">
        <f t="shared" si="3"/>
        <v>2</v>
      </c>
      <c r="BC25" s="44" t="s">
        <v>24</v>
      </c>
      <c r="BD25" s="19">
        <f t="shared" si="26"/>
        <v>1</v>
      </c>
      <c r="BE25" s="19">
        <v>0</v>
      </c>
      <c r="BF25" s="47">
        <v>257879505.58</v>
      </c>
      <c r="BG25" s="117">
        <f t="shared" si="27"/>
        <v>0</v>
      </c>
      <c r="BH25" s="33">
        <f t="shared" si="28"/>
        <v>1</v>
      </c>
      <c r="BI25" s="36">
        <v>46568668.29000001</v>
      </c>
      <c r="BJ25" s="36">
        <v>43183789.08999999</v>
      </c>
      <c r="BK25" s="36">
        <v>40405700.389999986</v>
      </c>
      <c r="BL25" s="36">
        <v>68372425.41000003</v>
      </c>
      <c r="BM25" s="103">
        <f t="shared" si="4"/>
        <v>1.575907954939397</v>
      </c>
      <c r="BN25" s="33">
        <f t="shared" si="29"/>
        <v>0</v>
      </c>
      <c r="BO25" s="36">
        <v>6852119.24</v>
      </c>
      <c r="BP25" s="36">
        <v>9793679.76</v>
      </c>
      <c r="BQ25" s="107">
        <f t="shared" si="30"/>
        <v>0.7</v>
      </c>
      <c r="BR25" s="22">
        <f t="shared" si="31"/>
        <v>0</v>
      </c>
      <c r="BS25" s="48" t="s">
        <v>24</v>
      </c>
      <c r="BT25" s="19">
        <f t="shared" si="32"/>
        <v>1</v>
      </c>
      <c r="BU25" s="35" t="s">
        <v>24</v>
      </c>
      <c r="BV25" s="35" t="s">
        <v>24</v>
      </c>
      <c r="BW25" s="36" t="s">
        <v>24</v>
      </c>
      <c r="BX25" s="33">
        <f t="shared" si="35"/>
        <v>1</v>
      </c>
      <c r="BY25" s="49" t="s">
        <v>24</v>
      </c>
      <c r="BZ25" s="50">
        <f t="shared" si="33"/>
        <v>1</v>
      </c>
      <c r="CA25" s="49" t="s">
        <v>24</v>
      </c>
      <c r="CB25" s="50">
        <f t="shared" si="34"/>
        <v>1</v>
      </c>
      <c r="CC25" s="124">
        <f>F25+H25+L25+P25+T25+X25+AB25+AF25+AJ25+AL25+AN25+AR25+AV25+AX25+BB25+BD25+BH25+BN25+BR25+BT25+BX25+BZ25+CB25</f>
        <v>18</v>
      </c>
      <c r="CD25" s="123">
        <f t="shared" si="37"/>
        <v>18</v>
      </c>
      <c r="CE25" s="53"/>
      <c r="CG25"/>
      <c r="CH25"/>
    </row>
    <row r="26" spans="1:86" s="55" customFormat="1" ht="12.75" customHeight="1">
      <c r="A26" s="18">
        <v>20</v>
      </c>
      <c r="B26" s="37" t="s">
        <v>128</v>
      </c>
      <c r="C26" s="39">
        <v>310327581.58</v>
      </c>
      <c r="D26" s="40">
        <v>315953016.26</v>
      </c>
      <c r="E26" s="108">
        <f t="shared" si="5"/>
        <v>0.982</v>
      </c>
      <c r="F26" s="22">
        <f t="shared" si="6"/>
        <v>1.5</v>
      </c>
      <c r="G26" s="42">
        <v>4</v>
      </c>
      <c r="H26" s="22">
        <f t="shared" si="39"/>
        <v>1</v>
      </c>
      <c r="I26" s="41">
        <v>80367550.31</v>
      </c>
      <c r="J26" s="24">
        <v>77386495.8</v>
      </c>
      <c r="K26" s="112">
        <f t="shared" si="7"/>
        <v>1.039</v>
      </c>
      <c r="L26" s="22">
        <f t="shared" si="8"/>
        <v>1</v>
      </c>
      <c r="M26" s="39">
        <v>80367550.31</v>
      </c>
      <c r="N26" s="21">
        <v>66940000</v>
      </c>
      <c r="O26" s="26">
        <f t="shared" si="9"/>
        <v>0.20059083223782495</v>
      </c>
      <c r="P26" s="43">
        <f t="shared" si="10"/>
        <v>0</v>
      </c>
      <c r="Q26" s="95">
        <v>6</v>
      </c>
      <c r="R26" s="95">
        <v>7</v>
      </c>
      <c r="S26" s="105">
        <f t="shared" si="11"/>
        <v>0.8571428571428571</v>
      </c>
      <c r="T26" s="22">
        <f t="shared" si="12"/>
        <v>1</v>
      </c>
      <c r="U26" s="95">
        <v>8</v>
      </c>
      <c r="V26" s="95">
        <v>8</v>
      </c>
      <c r="W26" s="105">
        <f t="shared" si="13"/>
        <v>1</v>
      </c>
      <c r="X26" s="22">
        <f t="shared" si="14"/>
        <v>1</v>
      </c>
      <c r="Y26" s="95">
        <v>96</v>
      </c>
      <c r="Z26" s="95">
        <v>117</v>
      </c>
      <c r="AA26" s="105">
        <f t="shared" si="15"/>
        <v>0.8205128205128205</v>
      </c>
      <c r="AB26" s="22">
        <f t="shared" si="16"/>
        <v>1</v>
      </c>
      <c r="AC26" s="27">
        <v>30000</v>
      </c>
      <c r="AD26" s="27">
        <v>220073696.82</v>
      </c>
      <c r="AE26" s="97">
        <f t="shared" si="17"/>
        <v>0.00013631797181349318</v>
      </c>
      <c r="AF26" s="22">
        <f t="shared" si="38"/>
        <v>0</v>
      </c>
      <c r="AG26" s="98">
        <v>5301973.449999988</v>
      </c>
      <c r="AH26" s="98">
        <v>315953016.26</v>
      </c>
      <c r="AI26" s="105">
        <f t="shared" si="18"/>
        <v>0.017</v>
      </c>
      <c r="AJ26" s="22">
        <f t="shared" si="19"/>
        <v>0.5</v>
      </c>
      <c r="AK26" s="35" t="s">
        <v>24</v>
      </c>
      <c r="AL26" s="19">
        <f t="shared" si="20"/>
        <v>1</v>
      </c>
      <c r="AM26" s="44">
        <v>0</v>
      </c>
      <c r="AN26" s="22">
        <f t="shared" si="21"/>
        <v>3</v>
      </c>
      <c r="AO26" s="23">
        <v>3486430</v>
      </c>
      <c r="AP26" s="41">
        <v>4094660</v>
      </c>
      <c r="AQ26" s="97">
        <f t="shared" si="22"/>
        <v>0.8515</v>
      </c>
      <c r="AR26" s="22">
        <f t="shared" si="23"/>
        <v>1</v>
      </c>
      <c r="AS26" s="41">
        <v>80367550.31</v>
      </c>
      <c r="AT26" s="41">
        <v>73159551.01</v>
      </c>
      <c r="AU26" s="114">
        <f t="shared" si="24"/>
        <v>1.099</v>
      </c>
      <c r="AV26" s="22">
        <f t="shared" si="1"/>
        <v>1.5</v>
      </c>
      <c r="AW26" s="45">
        <v>0</v>
      </c>
      <c r="AX26" s="30">
        <f t="shared" si="2"/>
        <v>1</v>
      </c>
      <c r="AY26" s="31">
        <v>1</v>
      </c>
      <c r="AZ26" s="46">
        <v>1</v>
      </c>
      <c r="BA26" s="119">
        <f t="shared" si="25"/>
        <v>2</v>
      </c>
      <c r="BB26" s="30">
        <f t="shared" si="3"/>
        <v>2</v>
      </c>
      <c r="BC26" s="44" t="s">
        <v>24</v>
      </c>
      <c r="BD26" s="19">
        <f t="shared" si="26"/>
        <v>1</v>
      </c>
      <c r="BE26" s="19">
        <v>0</v>
      </c>
      <c r="BF26" s="47">
        <v>228396840.53</v>
      </c>
      <c r="BG26" s="117">
        <f t="shared" si="27"/>
        <v>0</v>
      </c>
      <c r="BH26" s="33">
        <f t="shared" si="28"/>
        <v>1</v>
      </c>
      <c r="BI26" s="36">
        <v>31462525.769999996</v>
      </c>
      <c r="BJ26" s="36">
        <v>28045642.38000001</v>
      </c>
      <c r="BK26" s="36">
        <v>22818307.04000002</v>
      </c>
      <c r="BL26" s="36">
        <v>53488947.089999944</v>
      </c>
      <c r="BM26" s="103">
        <f t="shared" si="4"/>
        <v>1.9491523340415198</v>
      </c>
      <c r="BN26" s="33">
        <f t="shared" si="29"/>
        <v>0</v>
      </c>
      <c r="BO26" s="36">
        <v>3457037.56</v>
      </c>
      <c r="BP26" s="36">
        <v>5028275.59</v>
      </c>
      <c r="BQ26" s="107">
        <f t="shared" si="30"/>
        <v>0.688</v>
      </c>
      <c r="BR26" s="22">
        <f t="shared" si="31"/>
        <v>0</v>
      </c>
      <c r="BS26" s="48" t="s">
        <v>24</v>
      </c>
      <c r="BT26" s="19">
        <f t="shared" si="32"/>
        <v>1</v>
      </c>
      <c r="BU26" s="35" t="s">
        <v>24</v>
      </c>
      <c r="BV26" s="35" t="s">
        <v>24</v>
      </c>
      <c r="BW26" s="36" t="s">
        <v>24</v>
      </c>
      <c r="BX26" s="33">
        <f t="shared" si="35"/>
        <v>1</v>
      </c>
      <c r="BY26" s="49" t="s">
        <v>24</v>
      </c>
      <c r="BZ26" s="50">
        <f t="shared" si="33"/>
        <v>1</v>
      </c>
      <c r="CA26" s="49" t="s">
        <v>107</v>
      </c>
      <c r="CB26" s="50">
        <f t="shared" si="34"/>
        <v>0</v>
      </c>
      <c r="CC26" s="124">
        <f t="shared" si="36"/>
        <v>21.5</v>
      </c>
      <c r="CD26" s="123">
        <f t="shared" si="37"/>
        <v>21.5</v>
      </c>
      <c r="CE26" s="53"/>
      <c r="CG26"/>
      <c r="CH26"/>
    </row>
    <row r="27" spans="1:83" ht="12.75" customHeight="1">
      <c r="A27" s="18">
        <v>21</v>
      </c>
      <c r="B27" s="37" t="s">
        <v>129</v>
      </c>
      <c r="C27" s="39">
        <v>363648286.9</v>
      </c>
      <c r="D27" s="40">
        <v>367078709.8</v>
      </c>
      <c r="E27" s="108">
        <f t="shared" si="5"/>
        <v>0.991</v>
      </c>
      <c r="F27" s="22">
        <f t="shared" si="6"/>
        <v>1.5</v>
      </c>
      <c r="G27" s="42">
        <v>5</v>
      </c>
      <c r="H27" s="22">
        <f t="shared" si="39"/>
        <v>0</v>
      </c>
      <c r="I27" s="41">
        <v>116353765.59</v>
      </c>
      <c r="J27" s="24">
        <v>116578468</v>
      </c>
      <c r="K27" s="112">
        <f t="shared" si="7"/>
        <v>0.998</v>
      </c>
      <c r="L27" s="22">
        <f t="shared" si="8"/>
        <v>0</v>
      </c>
      <c r="M27" s="39">
        <v>116353765.59</v>
      </c>
      <c r="N27" s="21">
        <v>119850430</v>
      </c>
      <c r="O27" s="26">
        <f t="shared" si="9"/>
        <v>0.02917523458197018</v>
      </c>
      <c r="P27" s="43">
        <f t="shared" si="10"/>
        <v>1</v>
      </c>
      <c r="Q27" s="95">
        <v>4</v>
      </c>
      <c r="R27" s="95">
        <v>4</v>
      </c>
      <c r="S27" s="105">
        <f t="shared" si="11"/>
        <v>1</v>
      </c>
      <c r="T27" s="22">
        <f t="shared" si="12"/>
        <v>1</v>
      </c>
      <c r="U27" s="95">
        <v>3</v>
      </c>
      <c r="V27" s="95">
        <v>5</v>
      </c>
      <c r="W27" s="105">
        <f t="shared" si="13"/>
        <v>0.6</v>
      </c>
      <c r="X27" s="22">
        <f t="shared" si="14"/>
        <v>1</v>
      </c>
      <c r="Y27" s="95">
        <v>90</v>
      </c>
      <c r="Z27" s="95">
        <v>117</v>
      </c>
      <c r="AA27" s="105">
        <f t="shared" si="15"/>
        <v>0.7692307692307693</v>
      </c>
      <c r="AB27" s="22">
        <f t="shared" si="16"/>
        <v>0</v>
      </c>
      <c r="AC27" s="27">
        <v>200000</v>
      </c>
      <c r="AD27" s="27">
        <v>303715751.53</v>
      </c>
      <c r="AE27" s="97">
        <f t="shared" si="17"/>
        <v>0.000658510462471831</v>
      </c>
      <c r="AF27" s="22">
        <f t="shared" si="38"/>
        <v>0</v>
      </c>
      <c r="AG27" s="98">
        <v>49499113.34000003</v>
      </c>
      <c r="AH27" s="98">
        <v>367078709.8</v>
      </c>
      <c r="AI27" s="105">
        <f t="shared" si="18"/>
        <v>0.135</v>
      </c>
      <c r="AJ27" s="22">
        <f t="shared" si="19"/>
        <v>0</v>
      </c>
      <c r="AK27" s="35" t="s">
        <v>24</v>
      </c>
      <c r="AL27" s="19">
        <f t="shared" si="20"/>
        <v>1</v>
      </c>
      <c r="AM27" s="44">
        <v>0</v>
      </c>
      <c r="AN27" s="22">
        <f t="shared" si="21"/>
        <v>3</v>
      </c>
      <c r="AO27" s="23">
        <v>5961880</v>
      </c>
      <c r="AP27" s="41">
        <v>7214460.000000001</v>
      </c>
      <c r="AQ27" s="97">
        <f t="shared" si="22"/>
        <v>0.8264</v>
      </c>
      <c r="AR27" s="22">
        <f t="shared" si="23"/>
        <v>1</v>
      </c>
      <c r="AS27" s="41">
        <v>116353765.59</v>
      </c>
      <c r="AT27" s="41">
        <v>116454546.94</v>
      </c>
      <c r="AU27" s="114">
        <f t="shared" si="24"/>
        <v>0.999</v>
      </c>
      <c r="AV27" s="22">
        <f t="shared" si="1"/>
        <v>0</v>
      </c>
      <c r="AW27" s="45">
        <v>0</v>
      </c>
      <c r="AX27" s="30">
        <f t="shared" si="2"/>
        <v>1</v>
      </c>
      <c r="AY27" s="31">
        <v>1</v>
      </c>
      <c r="AZ27" s="46">
        <v>1</v>
      </c>
      <c r="BA27" s="119">
        <f t="shared" si="25"/>
        <v>2</v>
      </c>
      <c r="BB27" s="30">
        <f t="shared" si="3"/>
        <v>2</v>
      </c>
      <c r="BC27" s="44" t="s">
        <v>105</v>
      </c>
      <c r="BD27" s="19">
        <f t="shared" si="26"/>
        <v>0</v>
      </c>
      <c r="BE27" s="19">
        <v>0</v>
      </c>
      <c r="BF27" s="47">
        <v>214735146.05</v>
      </c>
      <c r="BG27" s="117">
        <f t="shared" si="27"/>
        <v>0</v>
      </c>
      <c r="BH27" s="33">
        <f t="shared" si="28"/>
        <v>1</v>
      </c>
      <c r="BI27" s="36">
        <v>34429557.43</v>
      </c>
      <c r="BJ27" s="36">
        <v>36004657.25000001</v>
      </c>
      <c r="BK27" s="36">
        <v>34617384.91</v>
      </c>
      <c r="BL27" s="36">
        <v>60779770.81999999</v>
      </c>
      <c r="BM27" s="103">
        <f t="shared" si="4"/>
        <v>1.7357119089251554</v>
      </c>
      <c r="BN27" s="33">
        <f t="shared" si="29"/>
        <v>0</v>
      </c>
      <c r="BO27" s="36">
        <v>2638173.25</v>
      </c>
      <c r="BP27" s="36">
        <v>4539626.52</v>
      </c>
      <c r="BQ27" s="107">
        <f t="shared" si="30"/>
        <v>0.581</v>
      </c>
      <c r="BR27" s="22">
        <f t="shared" si="31"/>
        <v>0</v>
      </c>
      <c r="BS27" s="48" t="s">
        <v>24</v>
      </c>
      <c r="BT27" s="19">
        <f t="shared" si="32"/>
        <v>1</v>
      </c>
      <c r="BU27" s="35" t="s">
        <v>24</v>
      </c>
      <c r="BV27" s="35" t="s">
        <v>24</v>
      </c>
      <c r="BW27" s="36" t="s">
        <v>106</v>
      </c>
      <c r="BX27" s="33">
        <f t="shared" si="35"/>
        <v>0</v>
      </c>
      <c r="BY27" s="49" t="s">
        <v>24</v>
      </c>
      <c r="BZ27" s="50">
        <f t="shared" si="33"/>
        <v>1</v>
      </c>
      <c r="CA27" s="49" t="s">
        <v>24</v>
      </c>
      <c r="CB27" s="50">
        <f t="shared" si="34"/>
        <v>1</v>
      </c>
      <c r="CC27" s="124">
        <f t="shared" si="36"/>
        <v>16.5</v>
      </c>
      <c r="CD27" s="123">
        <f t="shared" si="37"/>
        <v>16.5</v>
      </c>
      <c r="CE27" s="54"/>
    </row>
    <row r="28" spans="1:83" ht="12.75" customHeight="1">
      <c r="A28" s="18">
        <v>22</v>
      </c>
      <c r="B28" s="37" t="s">
        <v>130</v>
      </c>
      <c r="C28" s="39">
        <v>703833868</v>
      </c>
      <c r="D28" s="40">
        <v>706808283.36</v>
      </c>
      <c r="E28" s="108">
        <f t="shared" si="5"/>
        <v>0.996</v>
      </c>
      <c r="F28" s="22">
        <f t="shared" si="6"/>
        <v>1.5</v>
      </c>
      <c r="G28" s="42">
        <v>3</v>
      </c>
      <c r="H28" s="22">
        <f t="shared" si="39"/>
        <v>1</v>
      </c>
      <c r="I28" s="41">
        <v>175389347.95</v>
      </c>
      <c r="J28" s="24">
        <v>171081760.66</v>
      </c>
      <c r="K28" s="112">
        <f t="shared" si="7"/>
        <v>1.025</v>
      </c>
      <c r="L28" s="22">
        <f t="shared" si="8"/>
        <v>1</v>
      </c>
      <c r="M28" s="39">
        <v>175389347.95</v>
      </c>
      <c r="N28" s="21">
        <v>151680500</v>
      </c>
      <c r="O28" s="26">
        <f t="shared" si="9"/>
        <v>0.156307817748491</v>
      </c>
      <c r="P28" s="43">
        <f t="shared" si="10"/>
        <v>0</v>
      </c>
      <c r="Q28" s="95">
        <v>6</v>
      </c>
      <c r="R28" s="95">
        <v>6</v>
      </c>
      <c r="S28" s="105">
        <f t="shared" si="11"/>
        <v>1</v>
      </c>
      <c r="T28" s="22">
        <f t="shared" si="12"/>
        <v>1</v>
      </c>
      <c r="U28" s="95">
        <v>5</v>
      </c>
      <c r="V28" s="95">
        <v>7</v>
      </c>
      <c r="W28" s="105">
        <f t="shared" si="13"/>
        <v>0.7142857142857143</v>
      </c>
      <c r="X28" s="22">
        <f t="shared" si="14"/>
        <v>1</v>
      </c>
      <c r="Y28" s="95">
        <v>107</v>
      </c>
      <c r="Z28" s="95">
        <v>117</v>
      </c>
      <c r="AA28" s="105">
        <f t="shared" si="15"/>
        <v>0.9145299145299145</v>
      </c>
      <c r="AB28" s="22">
        <f t="shared" si="16"/>
        <v>2</v>
      </c>
      <c r="AC28" s="27">
        <v>100000</v>
      </c>
      <c r="AD28" s="27">
        <v>450801703.04</v>
      </c>
      <c r="AE28" s="97">
        <f t="shared" si="17"/>
        <v>0.00022182702355746627</v>
      </c>
      <c r="AF28" s="22">
        <f t="shared" si="38"/>
        <v>0</v>
      </c>
      <c r="AG28" s="98">
        <v>179444847.07</v>
      </c>
      <c r="AH28" s="98">
        <v>706808283.36</v>
      </c>
      <c r="AI28" s="105">
        <f t="shared" si="18"/>
        <v>0.254</v>
      </c>
      <c r="AJ28" s="22">
        <f t="shared" si="19"/>
        <v>0</v>
      </c>
      <c r="AK28" s="35" t="s">
        <v>24</v>
      </c>
      <c r="AL28" s="19">
        <f t="shared" si="20"/>
        <v>1</v>
      </c>
      <c r="AM28" s="44">
        <v>0</v>
      </c>
      <c r="AN28" s="22">
        <f t="shared" si="21"/>
        <v>3</v>
      </c>
      <c r="AO28" s="23">
        <v>20769550</v>
      </c>
      <c r="AP28" s="41">
        <v>23960920</v>
      </c>
      <c r="AQ28" s="97">
        <f t="shared" si="22"/>
        <v>0.8668</v>
      </c>
      <c r="AR28" s="22">
        <f t="shared" si="23"/>
        <v>1</v>
      </c>
      <c r="AS28" s="41">
        <v>175389347.95</v>
      </c>
      <c r="AT28" s="41">
        <v>168474398.24</v>
      </c>
      <c r="AU28" s="114">
        <f t="shared" si="24"/>
        <v>1.041</v>
      </c>
      <c r="AV28" s="22">
        <f t="shared" si="1"/>
        <v>1</v>
      </c>
      <c r="AW28" s="45">
        <v>0</v>
      </c>
      <c r="AX28" s="30">
        <f t="shared" si="2"/>
        <v>1</v>
      </c>
      <c r="AY28" s="31">
        <v>1</v>
      </c>
      <c r="AZ28" s="46">
        <v>1</v>
      </c>
      <c r="BA28" s="119">
        <f t="shared" si="25"/>
        <v>2</v>
      </c>
      <c r="BB28" s="30">
        <f t="shared" si="3"/>
        <v>2</v>
      </c>
      <c r="BC28" s="44" t="s">
        <v>24</v>
      </c>
      <c r="BD28" s="19">
        <f t="shared" si="26"/>
        <v>1</v>
      </c>
      <c r="BE28" s="19">
        <v>0</v>
      </c>
      <c r="BF28" s="47">
        <v>368220545.7</v>
      </c>
      <c r="BG28" s="117">
        <f t="shared" si="27"/>
        <v>0</v>
      </c>
      <c r="BH28" s="33">
        <f t="shared" si="28"/>
        <v>1</v>
      </c>
      <c r="BI28" s="36">
        <v>42142173.2</v>
      </c>
      <c r="BJ28" s="36">
        <v>48662978.75</v>
      </c>
      <c r="BK28" s="36">
        <v>43389976.66999994</v>
      </c>
      <c r="BL28" s="36">
        <v>93269981.97000009</v>
      </c>
      <c r="BM28" s="103">
        <f t="shared" si="4"/>
        <v>2.0850976394406793</v>
      </c>
      <c r="BN28" s="33">
        <f t="shared" si="29"/>
        <v>0</v>
      </c>
      <c r="BO28" s="36">
        <v>9291102.85</v>
      </c>
      <c r="BP28" s="36">
        <v>16618673.4</v>
      </c>
      <c r="BQ28" s="107">
        <f t="shared" si="30"/>
        <v>0.559</v>
      </c>
      <c r="BR28" s="22">
        <f t="shared" si="31"/>
        <v>0</v>
      </c>
      <c r="BS28" s="48" t="s">
        <v>24</v>
      </c>
      <c r="BT28" s="19">
        <f t="shared" si="32"/>
        <v>1</v>
      </c>
      <c r="BU28" s="35" t="s">
        <v>24</v>
      </c>
      <c r="BV28" s="35" t="s">
        <v>24</v>
      </c>
      <c r="BW28" s="36" t="s">
        <v>24</v>
      </c>
      <c r="BX28" s="33">
        <f t="shared" si="35"/>
        <v>1</v>
      </c>
      <c r="BY28" s="49" t="s">
        <v>24</v>
      </c>
      <c r="BZ28" s="50">
        <f t="shared" si="33"/>
        <v>1</v>
      </c>
      <c r="CA28" s="49" t="s">
        <v>24</v>
      </c>
      <c r="CB28" s="50">
        <f t="shared" si="34"/>
        <v>1</v>
      </c>
      <c r="CC28" s="124">
        <f>F28+H28+L28+P28+T28+X28+AB28+AF28+AJ28+AL28+AN28+AR28+AV28+AX28+BB28+BD28+BH28+BN28+BR28+BT28+BX28+BZ28+CB28</f>
        <v>22.5</v>
      </c>
      <c r="CD28" s="123">
        <f t="shared" si="37"/>
        <v>22.5</v>
      </c>
      <c r="CE28" s="54"/>
    </row>
    <row r="29" spans="1:83" ht="12.75" customHeight="1">
      <c r="A29" s="18">
        <v>23</v>
      </c>
      <c r="B29" s="37" t="s">
        <v>131</v>
      </c>
      <c r="C29" s="39">
        <v>665592416.2</v>
      </c>
      <c r="D29" s="40">
        <v>670191503.2</v>
      </c>
      <c r="E29" s="108">
        <f t="shared" si="5"/>
        <v>0.993</v>
      </c>
      <c r="F29" s="22">
        <f t="shared" si="6"/>
        <v>1.5</v>
      </c>
      <c r="G29" s="42">
        <v>9</v>
      </c>
      <c r="H29" s="22">
        <f t="shared" si="39"/>
        <v>0</v>
      </c>
      <c r="I29" s="41">
        <v>246645605.03</v>
      </c>
      <c r="J29" s="24">
        <v>231800880.58</v>
      </c>
      <c r="K29" s="112">
        <f t="shared" si="7"/>
        <v>1.064</v>
      </c>
      <c r="L29" s="22">
        <f t="shared" si="8"/>
        <v>1</v>
      </c>
      <c r="M29" s="39">
        <v>246645605.03</v>
      </c>
      <c r="N29" s="21">
        <v>217602500</v>
      </c>
      <c r="O29" s="26">
        <f t="shared" si="9"/>
        <v>0.13346861837524845</v>
      </c>
      <c r="P29" s="43">
        <f t="shared" si="10"/>
        <v>0</v>
      </c>
      <c r="Q29" s="95">
        <v>0</v>
      </c>
      <c r="R29" s="95">
        <v>13</v>
      </c>
      <c r="S29" s="105">
        <f t="shared" si="11"/>
        <v>0</v>
      </c>
      <c r="T29" s="22">
        <f t="shared" si="12"/>
        <v>0</v>
      </c>
      <c r="U29" s="95">
        <v>9</v>
      </c>
      <c r="V29" s="95">
        <v>14</v>
      </c>
      <c r="W29" s="105">
        <f t="shared" si="13"/>
        <v>0.6428571428571429</v>
      </c>
      <c r="X29" s="22">
        <f t="shared" si="14"/>
        <v>1</v>
      </c>
      <c r="Y29" s="95">
        <v>82</v>
      </c>
      <c r="Z29" s="95">
        <v>117</v>
      </c>
      <c r="AA29" s="105">
        <f t="shared" si="15"/>
        <v>0.7008547008547008</v>
      </c>
      <c r="AB29" s="22">
        <f t="shared" si="16"/>
        <v>0</v>
      </c>
      <c r="AC29" s="27">
        <v>200000</v>
      </c>
      <c r="AD29" s="27">
        <v>498551477.22</v>
      </c>
      <c r="AE29" s="97">
        <f t="shared" si="17"/>
        <v>0.0004011621851272628</v>
      </c>
      <c r="AF29" s="22">
        <f t="shared" si="38"/>
        <v>0</v>
      </c>
      <c r="AG29" s="98">
        <v>41821644.900000095</v>
      </c>
      <c r="AH29" s="98">
        <v>670191503.2</v>
      </c>
      <c r="AI29" s="105">
        <f t="shared" si="18"/>
        <v>0.062</v>
      </c>
      <c r="AJ29" s="22">
        <f t="shared" si="19"/>
        <v>0</v>
      </c>
      <c r="AK29" s="35" t="s">
        <v>24</v>
      </c>
      <c r="AL29" s="19">
        <f t="shared" si="20"/>
        <v>1</v>
      </c>
      <c r="AM29" s="44">
        <v>0</v>
      </c>
      <c r="AN29" s="22">
        <f t="shared" si="21"/>
        <v>3</v>
      </c>
      <c r="AO29" s="23">
        <v>15267760.000000002</v>
      </c>
      <c r="AP29" s="41">
        <v>17715410</v>
      </c>
      <c r="AQ29" s="97">
        <f t="shared" si="22"/>
        <v>0.8618</v>
      </c>
      <c r="AR29" s="22">
        <f t="shared" si="23"/>
        <v>1</v>
      </c>
      <c r="AS29" s="41">
        <v>246645605.03</v>
      </c>
      <c r="AT29" s="41">
        <v>227745330.5</v>
      </c>
      <c r="AU29" s="114">
        <f t="shared" si="24"/>
        <v>1.083</v>
      </c>
      <c r="AV29" s="22">
        <f t="shared" si="1"/>
        <v>1.5</v>
      </c>
      <c r="AW29" s="45">
        <v>0</v>
      </c>
      <c r="AX29" s="30">
        <f t="shared" si="2"/>
        <v>1</v>
      </c>
      <c r="AY29" s="31">
        <v>1</v>
      </c>
      <c r="AZ29" s="46">
        <v>1</v>
      </c>
      <c r="BA29" s="119">
        <f t="shared" si="25"/>
        <v>2</v>
      </c>
      <c r="BB29" s="30">
        <f t="shared" si="3"/>
        <v>2</v>
      </c>
      <c r="BC29" s="44" t="s">
        <v>24</v>
      </c>
      <c r="BD29" s="19">
        <f t="shared" si="26"/>
        <v>1</v>
      </c>
      <c r="BE29" s="19">
        <v>0</v>
      </c>
      <c r="BF29" s="47">
        <v>405395379.74</v>
      </c>
      <c r="BG29" s="117">
        <f t="shared" si="27"/>
        <v>0</v>
      </c>
      <c r="BH29" s="33">
        <f t="shared" si="28"/>
        <v>1</v>
      </c>
      <c r="BI29" s="36">
        <v>69109159.53</v>
      </c>
      <c r="BJ29" s="36">
        <v>67510146.20000002</v>
      </c>
      <c r="BK29" s="36">
        <v>54466394.47999999</v>
      </c>
      <c r="BL29" s="36">
        <v>113002658.35</v>
      </c>
      <c r="BM29" s="103">
        <f t="shared" si="4"/>
        <v>1.7741148326506686</v>
      </c>
      <c r="BN29" s="33">
        <f t="shared" si="29"/>
        <v>0</v>
      </c>
      <c r="BO29" s="36">
        <v>9734034.15</v>
      </c>
      <c r="BP29" s="36">
        <v>16452000.49</v>
      </c>
      <c r="BQ29" s="107">
        <f t="shared" si="30"/>
        <v>0.592</v>
      </c>
      <c r="BR29" s="22">
        <f t="shared" si="31"/>
        <v>0</v>
      </c>
      <c r="BS29" s="48" t="s">
        <v>24</v>
      </c>
      <c r="BT29" s="19">
        <f t="shared" si="32"/>
        <v>1</v>
      </c>
      <c r="BU29" s="35" t="s">
        <v>24</v>
      </c>
      <c r="BV29" s="35" t="s">
        <v>24</v>
      </c>
      <c r="BW29" s="36" t="s">
        <v>24</v>
      </c>
      <c r="BX29" s="33">
        <f t="shared" si="35"/>
        <v>1</v>
      </c>
      <c r="BY29" s="49" t="s">
        <v>24</v>
      </c>
      <c r="BZ29" s="50">
        <f t="shared" si="33"/>
        <v>1</v>
      </c>
      <c r="CA29" s="49" t="s">
        <v>107</v>
      </c>
      <c r="CB29" s="50">
        <f t="shared" si="34"/>
        <v>0</v>
      </c>
      <c r="CC29" s="124">
        <f t="shared" si="36"/>
        <v>18</v>
      </c>
      <c r="CD29" s="123">
        <f t="shared" si="37"/>
        <v>18</v>
      </c>
      <c r="CE29" s="54"/>
    </row>
    <row r="30" spans="1:83" ht="12.75" customHeight="1">
      <c r="A30" s="18">
        <v>24</v>
      </c>
      <c r="B30" s="37" t="s">
        <v>132</v>
      </c>
      <c r="C30" s="39">
        <v>920617913.44</v>
      </c>
      <c r="D30" s="40">
        <v>1052534421.59</v>
      </c>
      <c r="E30" s="108">
        <f t="shared" si="5"/>
        <v>0.875</v>
      </c>
      <c r="F30" s="22">
        <f t="shared" si="6"/>
        <v>0</v>
      </c>
      <c r="G30" s="42">
        <v>8</v>
      </c>
      <c r="H30" s="22">
        <f t="shared" si="39"/>
        <v>0</v>
      </c>
      <c r="I30" s="41">
        <v>276871900.39</v>
      </c>
      <c r="J30" s="24">
        <v>271231504.29</v>
      </c>
      <c r="K30" s="112">
        <f t="shared" si="7"/>
        <v>1.021</v>
      </c>
      <c r="L30" s="22">
        <f t="shared" si="8"/>
        <v>1</v>
      </c>
      <c r="M30" s="39">
        <v>276871900.39</v>
      </c>
      <c r="N30" s="21">
        <v>237124000</v>
      </c>
      <c r="O30" s="26">
        <f t="shared" si="9"/>
        <v>0.16762495736407948</v>
      </c>
      <c r="P30" s="43">
        <f t="shared" si="10"/>
        <v>0</v>
      </c>
      <c r="Q30" s="95">
        <v>0</v>
      </c>
      <c r="R30" s="95">
        <v>16</v>
      </c>
      <c r="S30" s="105">
        <f t="shared" si="11"/>
        <v>0</v>
      </c>
      <c r="T30" s="22">
        <f t="shared" si="12"/>
        <v>0</v>
      </c>
      <c r="U30" s="95">
        <v>7</v>
      </c>
      <c r="V30" s="95">
        <v>17</v>
      </c>
      <c r="W30" s="105">
        <f t="shared" si="13"/>
        <v>0.4117647058823529</v>
      </c>
      <c r="X30" s="22">
        <f t="shared" si="14"/>
        <v>0</v>
      </c>
      <c r="Y30" s="95">
        <v>92</v>
      </c>
      <c r="Z30" s="95">
        <v>117</v>
      </c>
      <c r="AA30" s="105">
        <f t="shared" si="15"/>
        <v>0.7863247863247863</v>
      </c>
      <c r="AB30" s="22">
        <f t="shared" si="16"/>
        <v>0</v>
      </c>
      <c r="AC30" s="27">
        <v>50000</v>
      </c>
      <c r="AD30" s="27">
        <v>789556278.9200001</v>
      </c>
      <c r="AE30" s="97">
        <f t="shared" si="17"/>
        <v>6.332670809532772E-05</v>
      </c>
      <c r="AF30" s="22">
        <f t="shared" si="38"/>
        <v>0</v>
      </c>
      <c r="AG30" s="98">
        <v>158120055.70000005</v>
      </c>
      <c r="AH30" s="98">
        <v>1052534421.59</v>
      </c>
      <c r="AI30" s="105">
        <f t="shared" si="18"/>
        <v>0.15</v>
      </c>
      <c r="AJ30" s="22">
        <f t="shared" si="19"/>
        <v>0</v>
      </c>
      <c r="AK30" s="35" t="s">
        <v>105</v>
      </c>
      <c r="AL30" s="19">
        <f t="shared" si="20"/>
        <v>0</v>
      </c>
      <c r="AM30" s="44">
        <v>0</v>
      </c>
      <c r="AN30" s="22">
        <f t="shared" si="21"/>
        <v>3</v>
      </c>
      <c r="AO30" s="23">
        <v>15819570</v>
      </c>
      <c r="AP30" s="41">
        <v>17733690</v>
      </c>
      <c r="AQ30" s="97">
        <f t="shared" si="22"/>
        <v>0.8921</v>
      </c>
      <c r="AR30" s="22">
        <f t="shared" si="23"/>
        <v>1</v>
      </c>
      <c r="AS30" s="41">
        <v>276871900.39</v>
      </c>
      <c r="AT30" s="41">
        <v>234057535.8</v>
      </c>
      <c r="AU30" s="114">
        <f t="shared" si="24"/>
        <v>1.183</v>
      </c>
      <c r="AV30" s="22">
        <f t="shared" si="1"/>
        <v>1.5</v>
      </c>
      <c r="AW30" s="45">
        <v>0</v>
      </c>
      <c r="AX30" s="30">
        <f t="shared" si="2"/>
        <v>1</v>
      </c>
      <c r="AY30" s="31">
        <v>1</v>
      </c>
      <c r="AZ30" s="46">
        <v>1</v>
      </c>
      <c r="BA30" s="119">
        <f t="shared" si="25"/>
        <v>2</v>
      </c>
      <c r="BB30" s="30">
        <f t="shared" si="3"/>
        <v>2</v>
      </c>
      <c r="BC30" s="44" t="s">
        <v>105</v>
      </c>
      <c r="BD30" s="19">
        <f t="shared" si="26"/>
        <v>0</v>
      </c>
      <c r="BE30" s="19">
        <v>0</v>
      </c>
      <c r="BF30" s="47">
        <v>643362535.43</v>
      </c>
      <c r="BG30" s="117">
        <f t="shared" si="27"/>
        <v>0</v>
      </c>
      <c r="BH30" s="33">
        <f t="shared" si="28"/>
        <v>1</v>
      </c>
      <c r="BI30" s="36">
        <v>82675016.08000001</v>
      </c>
      <c r="BJ30" s="36">
        <v>89382847.61000001</v>
      </c>
      <c r="BK30" s="36">
        <v>67812211.07999998</v>
      </c>
      <c r="BL30" s="36">
        <v>130994755.69000003</v>
      </c>
      <c r="BM30" s="103">
        <f t="shared" si="4"/>
        <v>1.6383213597895192</v>
      </c>
      <c r="BN30" s="33">
        <f t="shared" si="29"/>
        <v>0</v>
      </c>
      <c r="BO30" s="36">
        <v>17839710.74</v>
      </c>
      <c r="BP30" s="36">
        <v>30725076.54</v>
      </c>
      <c r="BQ30" s="107">
        <f t="shared" si="30"/>
        <v>0.581</v>
      </c>
      <c r="BR30" s="22">
        <f t="shared" si="31"/>
        <v>0</v>
      </c>
      <c r="BS30" s="48" t="s">
        <v>24</v>
      </c>
      <c r="BT30" s="19">
        <f t="shared" si="32"/>
        <v>1</v>
      </c>
      <c r="BU30" s="35" t="s">
        <v>24</v>
      </c>
      <c r="BV30" s="35" t="s">
        <v>24</v>
      </c>
      <c r="BW30" s="36" t="s">
        <v>105</v>
      </c>
      <c r="BX30" s="33">
        <f t="shared" si="35"/>
        <v>0</v>
      </c>
      <c r="BY30" s="49" t="s">
        <v>24</v>
      </c>
      <c r="BZ30" s="50">
        <f t="shared" si="33"/>
        <v>1</v>
      </c>
      <c r="CA30" s="49" t="s">
        <v>24</v>
      </c>
      <c r="CB30" s="50">
        <f t="shared" si="34"/>
        <v>1</v>
      </c>
      <c r="CC30" s="124">
        <f t="shared" si="36"/>
        <v>13.5</v>
      </c>
      <c r="CD30" s="123">
        <f t="shared" si="37"/>
        <v>13.5</v>
      </c>
      <c r="CE30" s="54"/>
    </row>
    <row r="31" spans="1:83" ht="12.75" customHeight="1">
      <c r="A31" s="18">
        <v>25</v>
      </c>
      <c r="B31" s="37" t="s">
        <v>133</v>
      </c>
      <c r="C31" s="39">
        <v>207053549.92</v>
      </c>
      <c r="D31" s="40">
        <v>208332444.38</v>
      </c>
      <c r="E31" s="108">
        <f t="shared" si="5"/>
        <v>0.994</v>
      </c>
      <c r="F31" s="22">
        <f t="shared" si="6"/>
        <v>1.5</v>
      </c>
      <c r="G31" s="42">
        <v>3</v>
      </c>
      <c r="H31" s="22">
        <f t="shared" si="39"/>
        <v>1</v>
      </c>
      <c r="I31" s="41">
        <v>64768425.67</v>
      </c>
      <c r="J31" s="24">
        <v>63335476.04</v>
      </c>
      <c r="K31" s="112">
        <f t="shared" si="7"/>
        <v>1.023</v>
      </c>
      <c r="L31" s="22">
        <f t="shared" si="8"/>
        <v>1</v>
      </c>
      <c r="M31" s="39">
        <v>64768425.67</v>
      </c>
      <c r="N31" s="21">
        <v>67712000</v>
      </c>
      <c r="O31" s="26">
        <f t="shared" si="9"/>
        <v>0.043471974391540616</v>
      </c>
      <c r="P31" s="43">
        <f t="shared" si="10"/>
        <v>1</v>
      </c>
      <c r="Q31" s="95">
        <v>6</v>
      </c>
      <c r="R31" s="95">
        <v>6</v>
      </c>
      <c r="S31" s="105">
        <f t="shared" si="11"/>
        <v>1</v>
      </c>
      <c r="T31" s="22">
        <f t="shared" si="12"/>
        <v>1</v>
      </c>
      <c r="U31" s="95">
        <v>3</v>
      </c>
      <c r="V31" s="95">
        <v>7</v>
      </c>
      <c r="W31" s="105">
        <f t="shared" si="13"/>
        <v>0.42857142857142855</v>
      </c>
      <c r="X31" s="22">
        <f t="shared" si="14"/>
        <v>0</v>
      </c>
      <c r="Y31" s="95">
        <v>72</v>
      </c>
      <c r="Z31" s="95">
        <v>117</v>
      </c>
      <c r="AA31" s="105">
        <f t="shared" si="15"/>
        <v>0.6153846153846154</v>
      </c>
      <c r="AB31" s="22">
        <f t="shared" si="16"/>
        <v>0</v>
      </c>
      <c r="AC31" s="27">
        <v>150000</v>
      </c>
      <c r="AD31" s="27">
        <v>177501595.1</v>
      </c>
      <c r="AE31" s="97">
        <f t="shared" si="17"/>
        <v>0.0008450628283959573</v>
      </c>
      <c r="AF31" s="22">
        <f t="shared" si="38"/>
        <v>0</v>
      </c>
      <c r="AG31" s="98">
        <v>12452068.75</v>
      </c>
      <c r="AH31" s="98">
        <v>208332444.38</v>
      </c>
      <c r="AI31" s="105">
        <f t="shared" si="18"/>
        <v>0.06</v>
      </c>
      <c r="AJ31" s="22">
        <f t="shared" si="19"/>
        <v>0</v>
      </c>
      <c r="AK31" s="35" t="s">
        <v>24</v>
      </c>
      <c r="AL31" s="19">
        <f t="shared" si="20"/>
        <v>1</v>
      </c>
      <c r="AM31" s="44">
        <v>0</v>
      </c>
      <c r="AN31" s="22">
        <f t="shared" si="21"/>
        <v>3</v>
      </c>
      <c r="AO31" s="23">
        <v>7962230</v>
      </c>
      <c r="AP31" s="41">
        <v>8922130</v>
      </c>
      <c r="AQ31" s="97">
        <f t="shared" si="22"/>
        <v>0.8924</v>
      </c>
      <c r="AR31" s="22">
        <f t="shared" si="23"/>
        <v>1</v>
      </c>
      <c r="AS31" s="41">
        <v>64768425.67</v>
      </c>
      <c r="AT31" s="41">
        <v>62707884.16</v>
      </c>
      <c r="AU31" s="114">
        <f t="shared" si="24"/>
        <v>1.033</v>
      </c>
      <c r="AV31" s="22">
        <f t="shared" si="1"/>
        <v>1</v>
      </c>
      <c r="AW31" s="45">
        <v>0</v>
      </c>
      <c r="AX31" s="30">
        <f t="shared" si="2"/>
        <v>1</v>
      </c>
      <c r="AY31" s="31">
        <v>1</v>
      </c>
      <c r="AZ31" s="46">
        <v>1</v>
      </c>
      <c r="BA31" s="119">
        <f t="shared" si="25"/>
        <v>2</v>
      </c>
      <c r="BB31" s="30">
        <f t="shared" si="3"/>
        <v>2</v>
      </c>
      <c r="BC31" s="44" t="s">
        <v>105</v>
      </c>
      <c r="BD31" s="19">
        <f t="shared" si="26"/>
        <v>0</v>
      </c>
      <c r="BE31" s="19">
        <v>0</v>
      </c>
      <c r="BF31" s="47">
        <v>134086750.47</v>
      </c>
      <c r="BG31" s="117">
        <f t="shared" si="27"/>
        <v>0</v>
      </c>
      <c r="BH31" s="33">
        <f t="shared" si="28"/>
        <v>1</v>
      </c>
      <c r="BI31" s="36">
        <v>20699997.080000002</v>
      </c>
      <c r="BJ31" s="36">
        <v>23914833.7</v>
      </c>
      <c r="BK31" s="36">
        <v>16457109.269999996</v>
      </c>
      <c r="BL31" s="36">
        <v>33691505.11</v>
      </c>
      <c r="BM31" s="103">
        <f t="shared" si="4"/>
        <v>1.6550074428166133</v>
      </c>
      <c r="BN31" s="33">
        <f t="shared" si="29"/>
        <v>0</v>
      </c>
      <c r="BO31" s="36">
        <v>941343.01</v>
      </c>
      <c r="BP31" s="36">
        <v>1597350.23</v>
      </c>
      <c r="BQ31" s="107">
        <f t="shared" si="30"/>
        <v>0.589</v>
      </c>
      <c r="BR31" s="22">
        <f t="shared" si="31"/>
        <v>0</v>
      </c>
      <c r="BS31" s="48" t="s">
        <v>24</v>
      </c>
      <c r="BT31" s="19">
        <f t="shared" si="32"/>
        <v>1</v>
      </c>
      <c r="BU31" s="35" t="s">
        <v>24</v>
      </c>
      <c r="BV31" s="35" t="s">
        <v>24</v>
      </c>
      <c r="BW31" s="36" t="s">
        <v>24</v>
      </c>
      <c r="BX31" s="33">
        <f t="shared" si="35"/>
        <v>1</v>
      </c>
      <c r="BY31" s="49" t="s">
        <v>24</v>
      </c>
      <c r="BZ31" s="50">
        <f t="shared" si="33"/>
        <v>1</v>
      </c>
      <c r="CA31" s="49" t="s">
        <v>107</v>
      </c>
      <c r="CB31" s="50">
        <f t="shared" si="34"/>
        <v>0</v>
      </c>
      <c r="CC31" s="124">
        <f>F31+H31+L31+P31+T31+X31+AB31+AF31+AJ31+AL31+AN31+AR31+AV31+AX31+BB31+BD31+BH31+BN31+BR31+BT31+BX31+BZ31+CB31</f>
        <v>18.5</v>
      </c>
      <c r="CD31" s="123">
        <f t="shared" si="37"/>
        <v>18.5</v>
      </c>
      <c r="CE31" s="54"/>
    </row>
    <row r="32" spans="1:83" ht="12.75" customHeight="1">
      <c r="A32" s="18">
        <v>26</v>
      </c>
      <c r="B32" s="37" t="s">
        <v>134</v>
      </c>
      <c r="C32" s="39">
        <v>381131774.76</v>
      </c>
      <c r="D32" s="40">
        <v>383819269.64</v>
      </c>
      <c r="E32" s="108">
        <f t="shared" si="5"/>
        <v>0.993</v>
      </c>
      <c r="F32" s="22">
        <f t="shared" si="6"/>
        <v>1.5</v>
      </c>
      <c r="G32" s="42">
        <v>4</v>
      </c>
      <c r="H32" s="22">
        <f t="shared" si="39"/>
        <v>1</v>
      </c>
      <c r="I32" s="41">
        <v>150459192.26</v>
      </c>
      <c r="J32" s="24">
        <v>149102286.07</v>
      </c>
      <c r="K32" s="112">
        <f t="shared" si="7"/>
        <v>1.009</v>
      </c>
      <c r="L32" s="22">
        <f t="shared" si="8"/>
        <v>1</v>
      </c>
      <c r="M32" s="39">
        <v>150459192.26</v>
      </c>
      <c r="N32" s="21">
        <v>120242975.22</v>
      </c>
      <c r="O32" s="26">
        <f t="shared" si="9"/>
        <v>0.2512929922493645</v>
      </c>
      <c r="P32" s="43">
        <f t="shared" si="10"/>
        <v>0</v>
      </c>
      <c r="Q32" s="95">
        <v>8</v>
      </c>
      <c r="R32" s="95">
        <v>8</v>
      </c>
      <c r="S32" s="105">
        <f t="shared" si="11"/>
        <v>1</v>
      </c>
      <c r="T32" s="22">
        <f t="shared" si="12"/>
        <v>1</v>
      </c>
      <c r="U32" s="95">
        <v>3</v>
      </c>
      <c r="V32" s="95">
        <v>9</v>
      </c>
      <c r="W32" s="105">
        <f t="shared" si="13"/>
        <v>0.3333333333333333</v>
      </c>
      <c r="X32" s="22">
        <f t="shared" si="14"/>
        <v>0</v>
      </c>
      <c r="Y32" s="95">
        <v>97</v>
      </c>
      <c r="Z32" s="95">
        <v>117</v>
      </c>
      <c r="AA32" s="105">
        <f t="shared" si="15"/>
        <v>0.8290598290598291</v>
      </c>
      <c r="AB32" s="22">
        <f t="shared" si="16"/>
        <v>1</v>
      </c>
      <c r="AC32" s="27">
        <v>700000</v>
      </c>
      <c r="AD32" s="27">
        <v>315504203.7</v>
      </c>
      <c r="AE32" s="97">
        <f t="shared" si="17"/>
        <v>0.0022186709140192672</v>
      </c>
      <c r="AF32" s="22">
        <f t="shared" si="38"/>
        <v>0</v>
      </c>
      <c r="AG32" s="98">
        <v>10283819.50999999</v>
      </c>
      <c r="AH32" s="98">
        <v>383819269.64</v>
      </c>
      <c r="AI32" s="105">
        <f t="shared" si="18"/>
        <v>0.027</v>
      </c>
      <c r="AJ32" s="22">
        <f t="shared" si="19"/>
        <v>0</v>
      </c>
      <c r="AK32" s="35" t="s">
        <v>24</v>
      </c>
      <c r="AL32" s="19">
        <f t="shared" si="20"/>
        <v>1</v>
      </c>
      <c r="AM32" s="44">
        <v>0</v>
      </c>
      <c r="AN32" s="22">
        <f t="shared" si="21"/>
        <v>3</v>
      </c>
      <c r="AO32" s="23">
        <v>8642410</v>
      </c>
      <c r="AP32" s="41">
        <v>9438080</v>
      </c>
      <c r="AQ32" s="97">
        <f t="shared" si="22"/>
        <v>0.9157</v>
      </c>
      <c r="AR32" s="22">
        <f t="shared" si="23"/>
        <v>1</v>
      </c>
      <c r="AS32" s="41">
        <v>150459192.26</v>
      </c>
      <c r="AT32" s="41">
        <v>132392703.17</v>
      </c>
      <c r="AU32" s="114">
        <f t="shared" si="24"/>
        <v>1.136</v>
      </c>
      <c r="AV32" s="22">
        <f t="shared" si="1"/>
        <v>1.5</v>
      </c>
      <c r="AW32" s="45">
        <v>0</v>
      </c>
      <c r="AX32" s="30">
        <f t="shared" si="2"/>
        <v>1</v>
      </c>
      <c r="AY32" s="31">
        <v>1</v>
      </c>
      <c r="AZ32" s="46">
        <v>1</v>
      </c>
      <c r="BA32" s="119">
        <f t="shared" si="25"/>
        <v>2</v>
      </c>
      <c r="BB32" s="30">
        <f t="shared" si="3"/>
        <v>2</v>
      </c>
      <c r="BC32" s="44" t="s">
        <v>24</v>
      </c>
      <c r="BD32" s="19">
        <f t="shared" si="26"/>
        <v>1</v>
      </c>
      <c r="BE32" s="19">
        <v>0</v>
      </c>
      <c r="BF32" s="47">
        <v>225581909.73</v>
      </c>
      <c r="BG32" s="117">
        <f t="shared" si="27"/>
        <v>0</v>
      </c>
      <c r="BH32" s="33">
        <f t="shared" si="28"/>
        <v>1</v>
      </c>
      <c r="BI32" s="36">
        <v>41684591.74000001</v>
      </c>
      <c r="BJ32" s="36">
        <v>42921287.879999995</v>
      </c>
      <c r="BK32" s="36">
        <v>41357945.35999997</v>
      </c>
      <c r="BL32" s="36">
        <v>73184635.42</v>
      </c>
      <c r="BM32" s="103">
        <f t="shared" si="4"/>
        <v>1.7429917382618374</v>
      </c>
      <c r="BN32" s="33">
        <f t="shared" si="29"/>
        <v>0</v>
      </c>
      <c r="BO32" s="36">
        <v>7090399.3</v>
      </c>
      <c r="BP32" s="36">
        <v>14898000.72</v>
      </c>
      <c r="BQ32" s="107">
        <f t="shared" si="30"/>
        <v>0.476</v>
      </c>
      <c r="BR32" s="22">
        <f t="shared" si="31"/>
        <v>0</v>
      </c>
      <c r="BS32" s="48" t="s">
        <v>24</v>
      </c>
      <c r="BT32" s="19">
        <f t="shared" si="32"/>
        <v>1</v>
      </c>
      <c r="BU32" s="35" t="s">
        <v>24</v>
      </c>
      <c r="BV32" s="35" t="s">
        <v>24</v>
      </c>
      <c r="BW32" s="36" t="s">
        <v>106</v>
      </c>
      <c r="BX32" s="33">
        <f t="shared" si="35"/>
        <v>0</v>
      </c>
      <c r="BY32" s="49" t="s">
        <v>24</v>
      </c>
      <c r="BZ32" s="50">
        <f t="shared" si="33"/>
        <v>1</v>
      </c>
      <c r="CA32" s="49" t="s">
        <v>24</v>
      </c>
      <c r="CB32" s="50">
        <f t="shared" si="34"/>
        <v>1</v>
      </c>
      <c r="CC32" s="124">
        <f t="shared" si="36"/>
        <v>20</v>
      </c>
      <c r="CD32" s="123">
        <f t="shared" si="37"/>
        <v>20</v>
      </c>
      <c r="CE32" s="54"/>
    </row>
    <row r="33" spans="1:86" ht="12.75" customHeight="1">
      <c r="A33" s="18">
        <v>27</v>
      </c>
      <c r="B33" s="37" t="s">
        <v>164</v>
      </c>
      <c r="C33" s="39">
        <v>1246794009.7</v>
      </c>
      <c r="D33" s="40">
        <v>1254516740.75</v>
      </c>
      <c r="E33" s="108">
        <f t="shared" si="5"/>
        <v>0.994</v>
      </c>
      <c r="F33" s="22">
        <f t="shared" si="6"/>
        <v>1.5</v>
      </c>
      <c r="G33" s="42">
        <v>4</v>
      </c>
      <c r="H33" s="22">
        <f t="shared" si="39"/>
        <v>1</v>
      </c>
      <c r="I33" s="41">
        <v>329074099.75</v>
      </c>
      <c r="J33" s="24">
        <v>321421868.13</v>
      </c>
      <c r="K33" s="112">
        <f t="shared" si="7"/>
        <v>1.024</v>
      </c>
      <c r="L33" s="22">
        <f t="shared" si="8"/>
        <v>1</v>
      </c>
      <c r="M33" s="39">
        <v>329074099.75</v>
      </c>
      <c r="N33" s="21">
        <v>298736252</v>
      </c>
      <c r="O33" s="26">
        <f t="shared" si="9"/>
        <v>0.10155395452306873</v>
      </c>
      <c r="P33" s="43">
        <f t="shared" si="10"/>
        <v>0</v>
      </c>
      <c r="Q33" s="95">
        <v>5</v>
      </c>
      <c r="R33" s="95">
        <v>6</v>
      </c>
      <c r="S33" s="105">
        <f t="shared" si="11"/>
        <v>0.8333333333333334</v>
      </c>
      <c r="T33" s="22">
        <f t="shared" si="12"/>
        <v>1</v>
      </c>
      <c r="U33" s="95">
        <v>2</v>
      </c>
      <c r="V33" s="95">
        <v>7</v>
      </c>
      <c r="W33" s="105">
        <f t="shared" si="13"/>
        <v>0.2857142857142857</v>
      </c>
      <c r="X33" s="22">
        <f t="shared" si="14"/>
        <v>0</v>
      </c>
      <c r="Y33" s="95">
        <v>87</v>
      </c>
      <c r="Z33" s="95">
        <v>117</v>
      </c>
      <c r="AA33" s="105">
        <f t="shared" si="15"/>
        <v>0.7435897435897436</v>
      </c>
      <c r="AB33" s="22">
        <f t="shared" si="16"/>
        <v>0</v>
      </c>
      <c r="AC33" s="27">
        <v>250000</v>
      </c>
      <c r="AD33" s="27">
        <v>796079801.17</v>
      </c>
      <c r="AE33" s="97">
        <f t="shared" si="17"/>
        <v>0.00031403886850611527</v>
      </c>
      <c r="AF33" s="22">
        <f t="shared" si="38"/>
        <v>0</v>
      </c>
      <c r="AG33" s="98">
        <v>74661373.53</v>
      </c>
      <c r="AH33" s="98">
        <v>1254516740.75</v>
      </c>
      <c r="AI33" s="105">
        <f t="shared" si="18"/>
        <v>0.06</v>
      </c>
      <c r="AJ33" s="22">
        <f t="shared" si="19"/>
        <v>0</v>
      </c>
      <c r="AK33" s="35" t="s">
        <v>105</v>
      </c>
      <c r="AL33" s="19">
        <f t="shared" si="20"/>
        <v>0</v>
      </c>
      <c r="AM33" s="44">
        <v>0</v>
      </c>
      <c r="AN33" s="22">
        <f t="shared" si="21"/>
        <v>3</v>
      </c>
      <c r="AO33" s="23">
        <v>10548220</v>
      </c>
      <c r="AP33" s="41">
        <v>14813599.999999998</v>
      </c>
      <c r="AQ33" s="97">
        <f t="shared" si="22"/>
        <v>0.7121</v>
      </c>
      <c r="AR33" s="22">
        <f t="shared" si="23"/>
        <v>1</v>
      </c>
      <c r="AS33" s="41">
        <v>329074099.75</v>
      </c>
      <c r="AT33" s="41">
        <v>306059695.18</v>
      </c>
      <c r="AU33" s="114">
        <f t="shared" si="24"/>
        <v>1.075</v>
      </c>
      <c r="AV33" s="22">
        <f t="shared" si="1"/>
        <v>1.5</v>
      </c>
      <c r="AW33" s="45">
        <v>0</v>
      </c>
      <c r="AX33" s="30">
        <f t="shared" si="2"/>
        <v>1</v>
      </c>
      <c r="AY33" s="31">
        <v>1</v>
      </c>
      <c r="AZ33" s="46">
        <v>1</v>
      </c>
      <c r="BA33" s="119">
        <f t="shared" si="25"/>
        <v>2</v>
      </c>
      <c r="BB33" s="30">
        <f t="shared" si="3"/>
        <v>2</v>
      </c>
      <c r="BC33" s="44" t="s">
        <v>105</v>
      </c>
      <c r="BD33" s="19">
        <f t="shared" si="26"/>
        <v>0</v>
      </c>
      <c r="BE33" s="19">
        <v>0</v>
      </c>
      <c r="BF33" s="47">
        <v>775790903.03</v>
      </c>
      <c r="BG33" s="117">
        <f t="shared" si="27"/>
        <v>0</v>
      </c>
      <c r="BH33" s="33">
        <f t="shared" si="28"/>
        <v>1</v>
      </c>
      <c r="BI33" s="36">
        <v>85126834.82999998</v>
      </c>
      <c r="BJ33" s="36">
        <v>3008873.2700000107</v>
      </c>
      <c r="BK33" s="36">
        <v>155449157.81999993</v>
      </c>
      <c r="BL33" s="36">
        <v>170343134.39000002</v>
      </c>
      <c r="BM33" s="103">
        <f t="shared" si="4"/>
        <v>2.0979521910767494</v>
      </c>
      <c r="BN33" s="33">
        <f t="shared" si="29"/>
        <v>0</v>
      </c>
      <c r="BO33" s="36">
        <v>19013626.1</v>
      </c>
      <c r="BP33" s="36">
        <v>34628887.54</v>
      </c>
      <c r="BQ33" s="107">
        <f t="shared" si="30"/>
        <v>0.549</v>
      </c>
      <c r="BR33" s="22">
        <f t="shared" si="31"/>
        <v>0</v>
      </c>
      <c r="BS33" s="48" t="s">
        <v>24</v>
      </c>
      <c r="BT33" s="19">
        <f t="shared" si="32"/>
        <v>1</v>
      </c>
      <c r="BU33" s="35" t="s">
        <v>24</v>
      </c>
      <c r="BV33" s="35" t="s">
        <v>24</v>
      </c>
      <c r="BW33" s="36" t="s">
        <v>24</v>
      </c>
      <c r="BX33" s="33">
        <f t="shared" si="35"/>
        <v>1</v>
      </c>
      <c r="BY33" s="49" t="s">
        <v>24</v>
      </c>
      <c r="BZ33" s="50">
        <f t="shared" si="33"/>
        <v>1</v>
      </c>
      <c r="CA33" s="49" t="s">
        <v>107</v>
      </c>
      <c r="CB33" s="50">
        <f t="shared" si="34"/>
        <v>0</v>
      </c>
      <c r="CC33" s="124">
        <f t="shared" si="36"/>
        <v>17</v>
      </c>
      <c r="CD33" s="123">
        <f t="shared" si="37"/>
        <v>17</v>
      </c>
      <c r="CE33" s="54"/>
      <c r="CG33" s="55"/>
      <c r="CH33" s="55"/>
    </row>
    <row r="34" spans="1:86" s="55" customFormat="1" ht="12.75" customHeight="1">
      <c r="A34" s="18">
        <v>28</v>
      </c>
      <c r="B34" s="37" t="s">
        <v>136</v>
      </c>
      <c r="C34" s="39">
        <v>420385176.54</v>
      </c>
      <c r="D34" s="40">
        <v>426452719.99</v>
      </c>
      <c r="E34" s="108">
        <f t="shared" si="5"/>
        <v>0.986</v>
      </c>
      <c r="F34" s="22">
        <f t="shared" si="6"/>
        <v>1.5</v>
      </c>
      <c r="G34" s="42">
        <v>4</v>
      </c>
      <c r="H34" s="22">
        <f t="shared" si="39"/>
        <v>1</v>
      </c>
      <c r="I34" s="41">
        <v>126985819.43</v>
      </c>
      <c r="J34" s="24">
        <v>130442371.99</v>
      </c>
      <c r="K34" s="112">
        <f t="shared" si="7"/>
        <v>0.974</v>
      </c>
      <c r="L34" s="22">
        <f t="shared" si="8"/>
        <v>0</v>
      </c>
      <c r="M34" s="39">
        <v>126985819.43</v>
      </c>
      <c r="N34" s="21">
        <v>149191166</v>
      </c>
      <c r="O34" s="26">
        <f t="shared" si="9"/>
        <v>0.14883821318213972</v>
      </c>
      <c r="P34" s="43">
        <f t="shared" si="10"/>
        <v>0</v>
      </c>
      <c r="Q34" s="95">
        <v>0</v>
      </c>
      <c r="R34" s="95">
        <v>7</v>
      </c>
      <c r="S34" s="105">
        <f t="shared" si="11"/>
        <v>0</v>
      </c>
      <c r="T34" s="22">
        <f t="shared" si="12"/>
        <v>0</v>
      </c>
      <c r="U34" s="95">
        <v>3</v>
      </c>
      <c r="V34" s="95">
        <v>8</v>
      </c>
      <c r="W34" s="105">
        <f t="shared" si="13"/>
        <v>0.375</v>
      </c>
      <c r="X34" s="22">
        <f t="shared" si="14"/>
        <v>0</v>
      </c>
      <c r="Y34" s="95">
        <v>78</v>
      </c>
      <c r="Z34" s="95">
        <v>117</v>
      </c>
      <c r="AA34" s="105">
        <f t="shared" si="15"/>
        <v>0.6666666666666666</v>
      </c>
      <c r="AB34" s="22">
        <f t="shared" si="16"/>
        <v>0</v>
      </c>
      <c r="AC34" s="27">
        <v>200000</v>
      </c>
      <c r="AD34" s="27">
        <v>330899668.73</v>
      </c>
      <c r="AE34" s="97">
        <f t="shared" si="17"/>
        <v>0.0006044128142152703</v>
      </c>
      <c r="AF34" s="22">
        <f t="shared" si="38"/>
        <v>0</v>
      </c>
      <c r="AG34" s="98">
        <v>34677500.24000001</v>
      </c>
      <c r="AH34" s="98">
        <v>426452719.99</v>
      </c>
      <c r="AI34" s="105">
        <f t="shared" si="18"/>
        <v>0.081</v>
      </c>
      <c r="AJ34" s="22">
        <f t="shared" si="19"/>
        <v>0</v>
      </c>
      <c r="AK34" s="35" t="s">
        <v>105</v>
      </c>
      <c r="AL34" s="19">
        <f t="shared" si="20"/>
        <v>0</v>
      </c>
      <c r="AM34" s="44">
        <v>0</v>
      </c>
      <c r="AN34" s="22">
        <f t="shared" si="21"/>
        <v>3</v>
      </c>
      <c r="AO34" s="23">
        <v>9412580</v>
      </c>
      <c r="AP34" s="41">
        <v>10772910</v>
      </c>
      <c r="AQ34" s="97">
        <f t="shared" si="22"/>
        <v>0.8737</v>
      </c>
      <c r="AR34" s="22">
        <f t="shared" si="23"/>
        <v>1</v>
      </c>
      <c r="AS34" s="41">
        <v>126985819.43</v>
      </c>
      <c r="AT34" s="41">
        <v>114534107.48</v>
      </c>
      <c r="AU34" s="114">
        <f t="shared" si="24"/>
        <v>1.109</v>
      </c>
      <c r="AV34" s="22">
        <f t="shared" si="1"/>
        <v>1.5</v>
      </c>
      <c r="AW34" s="45">
        <v>0</v>
      </c>
      <c r="AX34" s="30">
        <f t="shared" si="2"/>
        <v>1</v>
      </c>
      <c r="AY34" s="31">
        <v>1</v>
      </c>
      <c r="AZ34" s="46">
        <v>1</v>
      </c>
      <c r="BA34" s="119">
        <f t="shared" si="25"/>
        <v>2</v>
      </c>
      <c r="BB34" s="30">
        <f t="shared" si="3"/>
        <v>2</v>
      </c>
      <c r="BC34" s="44" t="s">
        <v>24</v>
      </c>
      <c r="BD34" s="19">
        <f t="shared" si="26"/>
        <v>1</v>
      </c>
      <c r="BE34" s="19">
        <v>0</v>
      </c>
      <c r="BF34" s="47">
        <v>267504701.21</v>
      </c>
      <c r="BG34" s="117">
        <f t="shared" si="27"/>
        <v>0</v>
      </c>
      <c r="BH34" s="33">
        <f t="shared" si="28"/>
        <v>1</v>
      </c>
      <c r="BI34" s="36">
        <v>43169053.45999999</v>
      </c>
      <c r="BJ34" s="36">
        <v>40275182.980000034</v>
      </c>
      <c r="BK34" s="36">
        <v>37742395.42999998</v>
      </c>
      <c r="BL34" s="36">
        <v>60141876.67000002</v>
      </c>
      <c r="BM34" s="103">
        <f t="shared" si="4"/>
        <v>1.4888245281339878</v>
      </c>
      <c r="BN34" s="33">
        <f t="shared" si="29"/>
        <v>0</v>
      </c>
      <c r="BO34" s="36">
        <v>9337952.17</v>
      </c>
      <c r="BP34" s="36">
        <v>11985179.12</v>
      </c>
      <c r="BQ34" s="107">
        <f t="shared" si="30"/>
        <v>0.779</v>
      </c>
      <c r="BR34" s="22">
        <f t="shared" si="31"/>
        <v>0</v>
      </c>
      <c r="BS34" s="48" t="s">
        <v>24</v>
      </c>
      <c r="BT34" s="19">
        <f t="shared" si="32"/>
        <v>1</v>
      </c>
      <c r="BU34" s="35" t="s">
        <v>24</v>
      </c>
      <c r="BV34" s="35" t="s">
        <v>24</v>
      </c>
      <c r="BW34" s="36" t="s">
        <v>106</v>
      </c>
      <c r="BX34" s="33">
        <f t="shared" si="35"/>
        <v>0</v>
      </c>
      <c r="BY34" s="49" t="s">
        <v>24</v>
      </c>
      <c r="BZ34" s="50">
        <f t="shared" si="33"/>
        <v>1</v>
      </c>
      <c r="CA34" s="49" t="s">
        <v>24</v>
      </c>
      <c r="CB34" s="50">
        <f t="shared" si="34"/>
        <v>1</v>
      </c>
      <c r="CC34" s="124">
        <f>F34+H34+L34+P34+T34+X34+AB34+AF34+AJ34+AL34+AN34+AR34+AV34+AX34+BB34+BD34+BH34+BN34+BR34+BT34+BX34+BZ34+CB34</f>
        <v>16</v>
      </c>
      <c r="CD34" s="123">
        <f t="shared" si="37"/>
        <v>16</v>
      </c>
      <c r="CE34" s="53"/>
      <c r="CG34"/>
      <c r="CH34"/>
    </row>
    <row r="35" spans="1:86" ht="12.75" customHeight="1">
      <c r="A35" s="18">
        <v>29</v>
      </c>
      <c r="B35" s="37" t="s">
        <v>137</v>
      </c>
      <c r="C35" s="39">
        <v>521517559.63</v>
      </c>
      <c r="D35" s="40">
        <v>524898848.32</v>
      </c>
      <c r="E35" s="108">
        <f t="shared" si="5"/>
        <v>0.994</v>
      </c>
      <c r="F35" s="22">
        <f t="shared" si="6"/>
        <v>1.5</v>
      </c>
      <c r="G35" s="42">
        <v>3</v>
      </c>
      <c r="H35" s="22">
        <f t="shared" si="39"/>
        <v>1</v>
      </c>
      <c r="I35" s="41">
        <v>174660185.83</v>
      </c>
      <c r="J35" s="24">
        <v>173370118</v>
      </c>
      <c r="K35" s="112">
        <f t="shared" si="7"/>
        <v>1.007</v>
      </c>
      <c r="L35" s="22">
        <f t="shared" si="8"/>
        <v>1</v>
      </c>
      <c r="M35" s="39">
        <v>174660185.83</v>
      </c>
      <c r="N35" s="21">
        <v>173523000</v>
      </c>
      <c r="O35" s="26">
        <f t="shared" si="9"/>
        <v>0.006553516421454292</v>
      </c>
      <c r="P35" s="43">
        <f t="shared" si="10"/>
        <v>1</v>
      </c>
      <c r="Q35" s="95">
        <v>0</v>
      </c>
      <c r="R35" s="95">
        <v>8</v>
      </c>
      <c r="S35" s="105">
        <f t="shared" si="11"/>
        <v>0</v>
      </c>
      <c r="T35" s="22">
        <f t="shared" si="12"/>
        <v>0</v>
      </c>
      <c r="U35" s="95">
        <v>2</v>
      </c>
      <c r="V35" s="95">
        <v>9</v>
      </c>
      <c r="W35" s="105">
        <f t="shared" si="13"/>
        <v>0.2222222222222222</v>
      </c>
      <c r="X35" s="22">
        <f t="shared" si="14"/>
        <v>0</v>
      </c>
      <c r="Y35" s="95">
        <v>101</v>
      </c>
      <c r="Z35" s="95">
        <v>117</v>
      </c>
      <c r="AA35" s="105">
        <f t="shared" si="15"/>
        <v>0.8632478632478633</v>
      </c>
      <c r="AB35" s="22">
        <f t="shared" si="16"/>
        <v>1</v>
      </c>
      <c r="AC35" s="27">
        <v>100000</v>
      </c>
      <c r="AD35" s="27">
        <v>386230608.69</v>
      </c>
      <c r="AE35" s="97">
        <f t="shared" si="17"/>
        <v>0.0002589126748373869</v>
      </c>
      <c r="AF35" s="22">
        <f t="shared" si="38"/>
        <v>0</v>
      </c>
      <c r="AG35" s="98">
        <v>22895840.46999997</v>
      </c>
      <c r="AH35" s="98">
        <v>524898848.32</v>
      </c>
      <c r="AI35" s="105">
        <f t="shared" si="18"/>
        <v>0.044</v>
      </c>
      <c r="AJ35" s="22">
        <f t="shared" si="19"/>
        <v>0</v>
      </c>
      <c r="AK35" s="35" t="s">
        <v>105</v>
      </c>
      <c r="AL35" s="19">
        <f t="shared" si="20"/>
        <v>0</v>
      </c>
      <c r="AM35" s="44">
        <v>0</v>
      </c>
      <c r="AN35" s="22">
        <f t="shared" si="21"/>
        <v>3</v>
      </c>
      <c r="AO35" s="23">
        <v>8973430</v>
      </c>
      <c r="AP35" s="41">
        <v>11728020</v>
      </c>
      <c r="AQ35" s="97">
        <f t="shared" si="22"/>
        <v>0.7651</v>
      </c>
      <c r="AR35" s="22">
        <f t="shared" si="23"/>
        <v>1</v>
      </c>
      <c r="AS35" s="41">
        <v>174660185.83</v>
      </c>
      <c r="AT35" s="41">
        <v>183930845.34</v>
      </c>
      <c r="AU35" s="114">
        <f t="shared" si="24"/>
        <v>0.95</v>
      </c>
      <c r="AV35" s="22">
        <f t="shared" si="1"/>
        <v>0</v>
      </c>
      <c r="AW35" s="45">
        <v>0</v>
      </c>
      <c r="AX35" s="30">
        <f t="shared" si="2"/>
        <v>1</v>
      </c>
      <c r="AY35" s="31">
        <v>1</v>
      </c>
      <c r="AZ35" s="46">
        <v>1</v>
      </c>
      <c r="BA35" s="119">
        <f t="shared" si="25"/>
        <v>2</v>
      </c>
      <c r="BB35" s="30">
        <f t="shared" si="3"/>
        <v>2</v>
      </c>
      <c r="BC35" s="44" t="s">
        <v>24</v>
      </c>
      <c r="BD35" s="19">
        <f t="shared" si="26"/>
        <v>1</v>
      </c>
      <c r="BE35" s="19">
        <v>0</v>
      </c>
      <c r="BF35" s="47">
        <v>326557643.84</v>
      </c>
      <c r="BG35" s="117">
        <f t="shared" si="27"/>
        <v>0</v>
      </c>
      <c r="BH35" s="33">
        <f t="shared" si="28"/>
        <v>1</v>
      </c>
      <c r="BI35" s="36">
        <v>60719950.95</v>
      </c>
      <c r="BJ35" s="36">
        <v>56299902.730000004</v>
      </c>
      <c r="BK35" s="36">
        <v>47309109.79000002</v>
      </c>
      <c r="BL35" s="36">
        <v>63194580.53999999</v>
      </c>
      <c r="BM35" s="103">
        <f t="shared" si="4"/>
        <v>1.1536842782715566</v>
      </c>
      <c r="BN35" s="33">
        <f t="shared" si="29"/>
        <v>0</v>
      </c>
      <c r="BO35" s="36">
        <v>9418584.36</v>
      </c>
      <c r="BP35" s="36">
        <v>14970025.85</v>
      </c>
      <c r="BQ35" s="107">
        <f t="shared" si="30"/>
        <v>0.629</v>
      </c>
      <c r="BR35" s="22">
        <f t="shared" si="31"/>
        <v>0</v>
      </c>
      <c r="BS35" s="48" t="s">
        <v>24</v>
      </c>
      <c r="BT35" s="19">
        <f t="shared" si="32"/>
        <v>1</v>
      </c>
      <c r="BU35" s="35" t="s">
        <v>24</v>
      </c>
      <c r="BV35" s="35" t="s">
        <v>24</v>
      </c>
      <c r="BW35" s="36" t="s">
        <v>24</v>
      </c>
      <c r="BX35" s="33">
        <f t="shared" si="35"/>
        <v>1</v>
      </c>
      <c r="BY35" s="49" t="s">
        <v>105</v>
      </c>
      <c r="BZ35" s="50">
        <f t="shared" si="33"/>
        <v>0</v>
      </c>
      <c r="CA35" s="49" t="s">
        <v>24</v>
      </c>
      <c r="CB35" s="50">
        <f t="shared" si="34"/>
        <v>1</v>
      </c>
      <c r="CC35" s="124">
        <f t="shared" si="36"/>
        <v>17.5</v>
      </c>
      <c r="CD35" s="123">
        <f t="shared" si="37"/>
        <v>17.5</v>
      </c>
      <c r="CE35" s="54"/>
      <c r="CG35" s="55"/>
      <c r="CH35" s="55"/>
    </row>
    <row r="36" spans="1:83" ht="12.75" customHeight="1">
      <c r="A36" s="18">
        <v>30</v>
      </c>
      <c r="B36" s="37" t="s">
        <v>138</v>
      </c>
      <c r="C36" s="39">
        <v>610951554.4</v>
      </c>
      <c r="D36" s="40">
        <v>613548077.44</v>
      </c>
      <c r="E36" s="108">
        <f t="shared" si="5"/>
        <v>0.996</v>
      </c>
      <c r="F36" s="22">
        <f t="shared" si="6"/>
        <v>1.5</v>
      </c>
      <c r="G36" s="42">
        <v>9</v>
      </c>
      <c r="H36" s="22">
        <f t="shared" si="39"/>
        <v>0</v>
      </c>
      <c r="I36" s="41">
        <v>197908273.19</v>
      </c>
      <c r="J36" s="24">
        <v>195182674.07</v>
      </c>
      <c r="K36" s="112">
        <f t="shared" si="7"/>
        <v>1.014</v>
      </c>
      <c r="L36" s="22">
        <f t="shared" si="8"/>
        <v>1</v>
      </c>
      <c r="M36" s="39">
        <v>197908273.19</v>
      </c>
      <c r="N36" s="21">
        <v>191559400</v>
      </c>
      <c r="O36" s="26">
        <f t="shared" si="9"/>
        <v>0.03314310438433195</v>
      </c>
      <c r="P36" s="43">
        <f t="shared" si="10"/>
        <v>1</v>
      </c>
      <c r="Q36" s="95">
        <v>6</v>
      </c>
      <c r="R36" s="95">
        <v>8</v>
      </c>
      <c r="S36" s="105">
        <f t="shared" si="11"/>
        <v>0.75</v>
      </c>
      <c r="T36" s="22">
        <f t="shared" si="12"/>
        <v>0</v>
      </c>
      <c r="U36" s="95">
        <v>4</v>
      </c>
      <c r="V36" s="95">
        <v>9</v>
      </c>
      <c r="W36" s="105">
        <f t="shared" si="13"/>
        <v>0.4444444444444444</v>
      </c>
      <c r="X36" s="22">
        <f t="shared" si="14"/>
        <v>0</v>
      </c>
      <c r="Y36" s="95">
        <v>71</v>
      </c>
      <c r="Z36" s="95">
        <v>117</v>
      </c>
      <c r="AA36" s="105">
        <f t="shared" si="15"/>
        <v>0.6068376068376068</v>
      </c>
      <c r="AB36" s="22">
        <f t="shared" si="16"/>
        <v>0</v>
      </c>
      <c r="AC36" s="27">
        <v>100000</v>
      </c>
      <c r="AD36" s="27">
        <v>505847529.23</v>
      </c>
      <c r="AE36" s="97">
        <f t="shared" si="17"/>
        <v>0.00019768802696776988</v>
      </c>
      <c r="AF36" s="22">
        <f t="shared" si="38"/>
        <v>0</v>
      </c>
      <c r="AG36" s="98">
        <v>16542984.600000024</v>
      </c>
      <c r="AH36" s="98">
        <v>613548077.44</v>
      </c>
      <c r="AI36" s="105">
        <f t="shared" si="18"/>
        <v>0.027</v>
      </c>
      <c r="AJ36" s="22">
        <f t="shared" si="19"/>
        <v>0</v>
      </c>
      <c r="AK36" s="35" t="s">
        <v>24</v>
      </c>
      <c r="AL36" s="19">
        <f t="shared" si="20"/>
        <v>1</v>
      </c>
      <c r="AM36" s="44">
        <v>0</v>
      </c>
      <c r="AN36" s="22">
        <f t="shared" si="21"/>
        <v>3</v>
      </c>
      <c r="AO36" s="23">
        <v>39041810</v>
      </c>
      <c r="AP36" s="41">
        <v>40996100</v>
      </c>
      <c r="AQ36" s="97">
        <f t="shared" si="22"/>
        <v>0.9523</v>
      </c>
      <c r="AR36" s="22">
        <f t="shared" si="23"/>
        <v>1</v>
      </c>
      <c r="AS36" s="41">
        <v>197908273.19</v>
      </c>
      <c r="AT36" s="41">
        <v>192734240.88</v>
      </c>
      <c r="AU36" s="114">
        <f t="shared" si="24"/>
        <v>1.027</v>
      </c>
      <c r="AV36" s="22">
        <f t="shared" si="1"/>
        <v>1</v>
      </c>
      <c r="AW36" s="45">
        <v>0</v>
      </c>
      <c r="AX36" s="30">
        <f t="shared" si="2"/>
        <v>1</v>
      </c>
      <c r="AY36" s="31">
        <v>1</v>
      </c>
      <c r="AZ36" s="46">
        <v>1</v>
      </c>
      <c r="BA36" s="119">
        <f t="shared" si="25"/>
        <v>2</v>
      </c>
      <c r="BB36" s="30">
        <f t="shared" si="3"/>
        <v>2</v>
      </c>
      <c r="BC36" s="44" t="s">
        <v>105</v>
      </c>
      <c r="BD36" s="19">
        <f t="shared" si="26"/>
        <v>0</v>
      </c>
      <c r="BE36" s="19">
        <v>0</v>
      </c>
      <c r="BF36" s="47">
        <v>399875853.03</v>
      </c>
      <c r="BG36" s="117">
        <f t="shared" si="27"/>
        <v>0</v>
      </c>
      <c r="BH36" s="33">
        <f t="shared" si="28"/>
        <v>1</v>
      </c>
      <c r="BI36" s="36">
        <v>68374562.1</v>
      </c>
      <c r="BJ36" s="36">
        <v>63000457.61000003</v>
      </c>
      <c r="BK36" s="36">
        <v>63411047.009999976</v>
      </c>
      <c r="BL36" s="36">
        <v>99264613.09000006</v>
      </c>
      <c r="BM36" s="103">
        <f t="shared" si="4"/>
        <v>1.5288251582084218</v>
      </c>
      <c r="BN36" s="33">
        <f t="shared" si="29"/>
        <v>0</v>
      </c>
      <c r="BO36" s="36">
        <v>16864809.5</v>
      </c>
      <c r="BP36" s="36">
        <v>28149909.67</v>
      </c>
      <c r="BQ36" s="107">
        <f t="shared" si="30"/>
        <v>0.599</v>
      </c>
      <c r="BR36" s="22">
        <f t="shared" si="31"/>
        <v>0</v>
      </c>
      <c r="BS36" s="48" t="s">
        <v>24</v>
      </c>
      <c r="BT36" s="19">
        <f t="shared" si="32"/>
        <v>1</v>
      </c>
      <c r="BU36" s="35" t="s">
        <v>24</v>
      </c>
      <c r="BV36" s="35" t="s">
        <v>24</v>
      </c>
      <c r="BW36" s="36" t="s">
        <v>24</v>
      </c>
      <c r="BX36" s="33">
        <f t="shared" si="35"/>
        <v>1</v>
      </c>
      <c r="BY36" s="49" t="s">
        <v>24</v>
      </c>
      <c r="BZ36" s="50">
        <f t="shared" si="33"/>
        <v>1</v>
      </c>
      <c r="CA36" s="49" t="s">
        <v>107</v>
      </c>
      <c r="CB36" s="50">
        <f t="shared" si="34"/>
        <v>0</v>
      </c>
      <c r="CC36" s="124">
        <f t="shared" si="36"/>
        <v>16.5</v>
      </c>
      <c r="CD36" s="123">
        <f t="shared" si="37"/>
        <v>16.5</v>
      </c>
      <c r="CE36" s="54"/>
    </row>
    <row r="37" spans="1:83" ht="12.75" customHeight="1">
      <c r="A37" s="18">
        <v>31</v>
      </c>
      <c r="B37" s="56" t="s">
        <v>139</v>
      </c>
      <c r="C37" s="58">
        <v>803028729.1</v>
      </c>
      <c r="D37" s="59">
        <v>809067942.06</v>
      </c>
      <c r="E37" s="108">
        <f t="shared" si="5"/>
        <v>0.993</v>
      </c>
      <c r="F37" s="22">
        <f t="shared" si="6"/>
        <v>1.5</v>
      </c>
      <c r="G37" s="63">
        <v>7</v>
      </c>
      <c r="H37" s="60">
        <f t="shared" si="39"/>
        <v>0</v>
      </c>
      <c r="I37" s="61">
        <v>305723116.86</v>
      </c>
      <c r="J37" s="62">
        <v>287510400</v>
      </c>
      <c r="K37" s="112">
        <f t="shared" si="7"/>
        <v>1.063</v>
      </c>
      <c r="L37" s="60">
        <f t="shared" si="8"/>
        <v>1</v>
      </c>
      <c r="M37" s="58">
        <v>305723116.86</v>
      </c>
      <c r="N37" s="64">
        <v>291202000</v>
      </c>
      <c r="O37" s="65">
        <f t="shared" si="9"/>
        <v>0.04986613024635825</v>
      </c>
      <c r="P37" s="66">
        <f t="shared" si="10"/>
        <v>1</v>
      </c>
      <c r="Q37" s="96">
        <v>9</v>
      </c>
      <c r="R37" s="96">
        <v>9</v>
      </c>
      <c r="S37" s="106">
        <f t="shared" si="11"/>
        <v>1</v>
      </c>
      <c r="T37" s="60">
        <f t="shared" si="12"/>
        <v>1</v>
      </c>
      <c r="U37" s="95">
        <v>3</v>
      </c>
      <c r="V37" s="96">
        <v>10</v>
      </c>
      <c r="W37" s="105">
        <f>U37/V37</f>
        <v>0.3</v>
      </c>
      <c r="X37" s="22">
        <f t="shared" si="14"/>
        <v>0</v>
      </c>
      <c r="Y37" s="96">
        <v>81</v>
      </c>
      <c r="Z37" s="96">
        <v>117</v>
      </c>
      <c r="AA37" s="105">
        <f t="shared" si="15"/>
        <v>0.6923076923076923</v>
      </c>
      <c r="AB37" s="22">
        <f t="shared" si="16"/>
        <v>0</v>
      </c>
      <c r="AC37" s="67">
        <v>1000000</v>
      </c>
      <c r="AD37" s="67">
        <v>614978471.63</v>
      </c>
      <c r="AE37" s="97">
        <f>AC37/AD37</f>
        <v>0.0016260731816343111</v>
      </c>
      <c r="AF37" s="22">
        <f t="shared" si="38"/>
        <v>0</v>
      </c>
      <c r="AG37" s="99">
        <v>66712076.01999998</v>
      </c>
      <c r="AH37" s="98">
        <v>809067942.06</v>
      </c>
      <c r="AI37" s="105">
        <f t="shared" si="18"/>
        <v>0.082</v>
      </c>
      <c r="AJ37" s="22">
        <f t="shared" si="19"/>
        <v>0</v>
      </c>
      <c r="AK37" s="35" t="s">
        <v>24</v>
      </c>
      <c r="AL37" s="19">
        <f t="shared" si="20"/>
        <v>1</v>
      </c>
      <c r="AM37" s="68">
        <v>0</v>
      </c>
      <c r="AN37" s="22">
        <f t="shared" si="21"/>
        <v>3</v>
      </c>
      <c r="AO37" s="69">
        <v>26419510</v>
      </c>
      <c r="AP37" s="61">
        <v>22230310</v>
      </c>
      <c r="AQ37" s="97">
        <f t="shared" si="22"/>
        <v>1.1884</v>
      </c>
      <c r="AR37" s="22">
        <f t="shared" si="23"/>
        <v>0</v>
      </c>
      <c r="AS37" s="61">
        <v>305723116.86</v>
      </c>
      <c r="AT37" s="61">
        <v>284419523.87</v>
      </c>
      <c r="AU37" s="114">
        <f t="shared" si="24"/>
        <v>1.075</v>
      </c>
      <c r="AV37" s="22">
        <f t="shared" si="1"/>
        <v>1.5</v>
      </c>
      <c r="AW37" s="70">
        <v>0</v>
      </c>
      <c r="AX37" s="71">
        <f t="shared" si="2"/>
        <v>1</v>
      </c>
      <c r="AY37" s="72">
        <v>1</v>
      </c>
      <c r="AZ37" s="73">
        <v>1</v>
      </c>
      <c r="BA37" s="120">
        <f t="shared" si="25"/>
        <v>2</v>
      </c>
      <c r="BB37" s="71">
        <f t="shared" si="3"/>
        <v>2</v>
      </c>
      <c r="BC37" s="68" t="s">
        <v>105</v>
      </c>
      <c r="BD37" s="57">
        <f t="shared" si="26"/>
        <v>0</v>
      </c>
      <c r="BE37" s="19">
        <v>0</v>
      </c>
      <c r="BF37" s="74">
        <v>471731114.18</v>
      </c>
      <c r="BG37" s="118">
        <f t="shared" si="27"/>
        <v>0</v>
      </c>
      <c r="BH37" s="75">
        <f t="shared" si="28"/>
        <v>1</v>
      </c>
      <c r="BI37" s="101">
        <v>86297918.69999999</v>
      </c>
      <c r="BJ37" s="36">
        <v>84219359.07000005</v>
      </c>
      <c r="BK37" s="101">
        <v>68537058.30000001</v>
      </c>
      <c r="BL37" s="101">
        <v>109835845.78999996</v>
      </c>
      <c r="BM37" s="103">
        <f t="shared" si="4"/>
        <v>1.378379253800748</v>
      </c>
      <c r="BN37" s="33">
        <f t="shared" si="29"/>
        <v>0</v>
      </c>
      <c r="BO37" s="101">
        <v>18741203.33</v>
      </c>
      <c r="BP37" s="101">
        <v>36782371.84</v>
      </c>
      <c r="BQ37" s="107">
        <f t="shared" si="30"/>
        <v>0.51</v>
      </c>
      <c r="BR37" s="22">
        <f t="shared" si="31"/>
        <v>0</v>
      </c>
      <c r="BS37" s="76" t="s">
        <v>24</v>
      </c>
      <c r="BT37" s="57">
        <f t="shared" si="32"/>
        <v>1</v>
      </c>
      <c r="BU37" s="77" t="s">
        <v>24</v>
      </c>
      <c r="BV37" s="77" t="s">
        <v>24</v>
      </c>
      <c r="BW37" s="78" t="s">
        <v>24</v>
      </c>
      <c r="BX37" s="33">
        <f t="shared" si="35"/>
        <v>1</v>
      </c>
      <c r="BY37" s="79" t="s">
        <v>105</v>
      </c>
      <c r="BZ37" s="80">
        <f t="shared" si="33"/>
        <v>0</v>
      </c>
      <c r="CA37" s="79" t="s">
        <v>24</v>
      </c>
      <c r="CB37" s="80">
        <f t="shared" si="34"/>
        <v>1</v>
      </c>
      <c r="CC37" s="124">
        <f>F37+H37+L37+P37+T37+X37+AB37+AF37+AJ37+AL37+AN37+AR37+AV37+AX37+BB37+BD37+BH37+BN37+BR37+BT37+BX37+BZ37+CB37</f>
        <v>17</v>
      </c>
      <c r="CD37" s="123">
        <f t="shared" si="37"/>
        <v>17</v>
      </c>
      <c r="CE37" s="81"/>
    </row>
    <row r="38" spans="1:83" ht="14.25" customHeight="1">
      <c r="A38" s="138" t="s">
        <v>34</v>
      </c>
      <c r="B38" s="139"/>
      <c r="C38" s="83">
        <f>SUM(C7:C37)</f>
        <v>30865434296.440006</v>
      </c>
      <c r="D38" s="83">
        <f>SUM(D7:D37)</f>
        <v>31274593461.429996</v>
      </c>
      <c r="E38" s="85">
        <f>C38/D38</f>
        <v>0.9869172027609378</v>
      </c>
      <c r="F38" s="82" t="s">
        <v>36</v>
      </c>
      <c r="G38" s="88" t="s">
        <v>35</v>
      </c>
      <c r="H38" s="82" t="s">
        <v>38</v>
      </c>
      <c r="I38" s="83">
        <f>SUM(I7:I37)</f>
        <v>9211360074.050003</v>
      </c>
      <c r="J38" s="84">
        <f>SUM(J7:J37)</f>
        <v>8904646625.32</v>
      </c>
      <c r="K38" s="113">
        <f t="shared" si="7"/>
        <v>1.034</v>
      </c>
      <c r="L38" s="82" t="s">
        <v>37</v>
      </c>
      <c r="M38" s="83">
        <f>SUM(M7:M37)</f>
        <v>9211360074.050003</v>
      </c>
      <c r="N38" s="84">
        <f>SUM(N7:N37)</f>
        <v>8735721553.91</v>
      </c>
      <c r="O38" s="86">
        <f t="shared" si="9"/>
        <v>0.05444753672661571</v>
      </c>
      <c r="P38" s="84">
        <f>IF(O38&gt;=0.1,1,0)</f>
        <v>0</v>
      </c>
      <c r="Q38" s="87" t="s">
        <v>35</v>
      </c>
      <c r="R38" s="87" t="s">
        <v>35</v>
      </c>
      <c r="S38" s="87" t="s">
        <v>35</v>
      </c>
      <c r="T38" s="82" t="s">
        <v>39</v>
      </c>
      <c r="U38" s="82" t="s">
        <v>35</v>
      </c>
      <c r="V38" s="82" t="s">
        <v>35</v>
      </c>
      <c r="W38" s="82"/>
      <c r="X38" s="82">
        <f>IF(U38="да",1,0)</f>
        <v>0</v>
      </c>
      <c r="Y38" s="82" t="s">
        <v>35</v>
      </c>
      <c r="Z38" s="82" t="s">
        <v>35</v>
      </c>
      <c r="AA38" s="82" t="s">
        <v>35</v>
      </c>
      <c r="AB38" s="82"/>
      <c r="AC38" s="89">
        <f>SUM(AC7:AC37)</f>
        <v>55151900</v>
      </c>
      <c r="AD38" s="89">
        <f>SUM(AD7:AD37)</f>
        <v>24513262124.56</v>
      </c>
      <c r="AE38" s="111">
        <f>AC38/AD38</f>
        <v>0.0022498800738863286</v>
      </c>
      <c r="AF38" s="82">
        <f>IF(AC38="да",1,0)</f>
        <v>0</v>
      </c>
      <c r="AG38" s="89">
        <f>SUM(AG7:AG37)</f>
        <v>1747531924.8300004</v>
      </c>
      <c r="AH38" s="89">
        <f>SUM(AH7:AH37)</f>
        <v>31274593461.429996</v>
      </c>
      <c r="AI38" s="110">
        <f t="shared" si="18"/>
        <v>0.056</v>
      </c>
      <c r="AJ38" s="82"/>
      <c r="AK38" s="82"/>
      <c r="AL38" s="82"/>
      <c r="AM38" s="82" t="s">
        <v>35</v>
      </c>
      <c r="AN38" s="82" t="s">
        <v>40</v>
      </c>
      <c r="AO38" s="83">
        <f>SUM(AO7:AO37)</f>
        <v>1111316500</v>
      </c>
      <c r="AP38" s="83">
        <f>SUM(AP7:AP37)</f>
        <v>1134799390</v>
      </c>
      <c r="AQ38" s="82" t="s">
        <v>41</v>
      </c>
      <c r="AR38" s="88">
        <f>IF(AQ38&lt;=1,1,0)</f>
        <v>0</v>
      </c>
      <c r="AS38" s="83">
        <f>SUM(AS7:AS37)</f>
        <v>9211360074.050003</v>
      </c>
      <c r="AT38" s="84">
        <f>SUM(AT7:AT37)</f>
        <v>8672511738.210001</v>
      </c>
      <c r="AU38" s="115">
        <f>ROUND(AS38/AT38,3)</f>
        <v>1.062</v>
      </c>
      <c r="AV38" s="89" t="s">
        <v>36</v>
      </c>
      <c r="AW38" s="88" t="s">
        <v>35</v>
      </c>
      <c r="AX38" s="88" t="s">
        <v>35</v>
      </c>
      <c r="AY38" s="88" t="s">
        <v>35</v>
      </c>
      <c r="AZ38" s="82" t="s">
        <v>42</v>
      </c>
      <c r="BA38" s="88" t="s">
        <v>35</v>
      </c>
      <c r="BB38" s="88" t="s">
        <v>35</v>
      </c>
      <c r="BC38" s="82" t="s">
        <v>35</v>
      </c>
      <c r="BD38" s="90">
        <f t="shared" si="26"/>
        <v>0</v>
      </c>
      <c r="BE38" s="83">
        <f>SUM(BE7:BE37)</f>
        <v>0</v>
      </c>
      <c r="BF38" s="83">
        <f>SUM(BF7:BF37)</f>
        <v>20593140659.639996</v>
      </c>
      <c r="BG38" s="88" t="s">
        <v>35</v>
      </c>
      <c r="BH38" s="88" t="s">
        <v>35</v>
      </c>
      <c r="BI38" s="102">
        <f>SUM(BI7:BI37)</f>
        <v>2685099951.6600003</v>
      </c>
      <c r="BJ38" s="102">
        <f>SUM(BJ7:BJ37)</f>
        <v>2594096602.71</v>
      </c>
      <c r="BK38" s="102">
        <f>SUM(BK7:BK37)</f>
        <v>2380122891.0599995</v>
      </c>
      <c r="BL38" s="102">
        <f>SUM(BL7:BL37)</f>
        <v>4236498694.650001</v>
      </c>
      <c r="BM38" s="88" t="s">
        <v>35</v>
      </c>
      <c r="BN38" s="88"/>
      <c r="BO38" s="102">
        <f>SUM(BO7:BO37)</f>
        <v>790753721.1799998</v>
      </c>
      <c r="BP38" s="102">
        <f>SUM(BP7:BP37)</f>
        <v>1190933444.28</v>
      </c>
      <c r="BQ38" s="82" t="s">
        <v>35</v>
      </c>
      <c r="BR38" s="82" t="s">
        <v>35</v>
      </c>
      <c r="BS38" s="82" t="s">
        <v>35</v>
      </c>
      <c r="BT38" s="82">
        <f t="shared" si="32"/>
        <v>0</v>
      </c>
      <c r="BU38" s="82" t="s">
        <v>35</v>
      </c>
      <c r="BV38" s="90" t="s">
        <v>35</v>
      </c>
      <c r="BW38" s="90" t="s">
        <v>35</v>
      </c>
      <c r="BX38" s="90">
        <f>IF(AND(BU38="да",BV38="да",BW38="да"),1,0)</f>
        <v>0</v>
      </c>
      <c r="BY38" s="82" t="s">
        <v>35</v>
      </c>
      <c r="BZ38" s="82">
        <f t="shared" si="33"/>
        <v>0</v>
      </c>
      <c r="CA38" s="82" t="s">
        <v>35</v>
      </c>
      <c r="CB38" s="82">
        <f t="shared" si="34"/>
        <v>0</v>
      </c>
      <c r="CC38" s="90" t="s">
        <v>35</v>
      </c>
      <c r="CD38" s="82"/>
      <c r="CE38" s="83" t="e">
        <f>SUM(CE7:CE37)</f>
        <v>#REF!</v>
      </c>
    </row>
    <row r="39" spans="1:82" ht="14.25">
      <c r="A39" s="127"/>
      <c r="B39" s="127" t="s">
        <v>153</v>
      </c>
      <c r="C39" s="127"/>
      <c r="BX39" s="91"/>
      <c r="CC39" s="92"/>
      <c r="CD39" s="92"/>
    </row>
    <row r="40" spans="11:82" ht="14.25">
      <c r="K40" s="94"/>
      <c r="CC40" s="93"/>
      <c r="CD40" s="93"/>
    </row>
    <row r="41" spans="19:34" ht="14.25">
      <c r="S41">
        <f>6/8</f>
        <v>0.75</v>
      </c>
      <c r="AH41" s="100"/>
    </row>
  </sheetData>
  <sheetProtection/>
  <mergeCells count="53">
    <mergeCell ref="AW2:AX2"/>
    <mergeCell ref="BI3:BN3"/>
    <mergeCell ref="AK3:AL3"/>
    <mergeCell ref="AO3:AR3"/>
    <mergeCell ref="AS3:AV3"/>
    <mergeCell ref="AW3:AX3"/>
    <mergeCell ref="AY3:BB3"/>
    <mergeCell ref="BC3:BD3"/>
    <mergeCell ref="AY2:BB2"/>
    <mergeCell ref="AO2:AR2"/>
    <mergeCell ref="CE2:CE4"/>
    <mergeCell ref="BC2:BD2"/>
    <mergeCell ref="BE2:BH2"/>
    <mergeCell ref="CA2:CB2"/>
    <mergeCell ref="BE3:BH3"/>
    <mergeCell ref="BO2:BR2"/>
    <mergeCell ref="BO3:BR3"/>
    <mergeCell ref="BI2:BN2"/>
    <mergeCell ref="BS3:BT3"/>
    <mergeCell ref="BU3:BX3"/>
    <mergeCell ref="BY3:BZ3"/>
    <mergeCell ref="CA3:CB3"/>
    <mergeCell ref="BS2:BT2"/>
    <mergeCell ref="BU2:BX2"/>
    <mergeCell ref="BY2:BZ2"/>
    <mergeCell ref="C3:F3"/>
    <mergeCell ref="U3:X3"/>
    <mergeCell ref="Y3:AB3"/>
    <mergeCell ref="AM3:AN3"/>
    <mergeCell ref="AG3:AJ3"/>
    <mergeCell ref="Y2:AB2"/>
    <mergeCell ref="AM2:AN2"/>
    <mergeCell ref="AG2:AJ2"/>
    <mergeCell ref="A2:B4"/>
    <mergeCell ref="AS2:AV2"/>
    <mergeCell ref="A6:B6"/>
    <mergeCell ref="AK2:AL2"/>
    <mergeCell ref="M3:P3"/>
    <mergeCell ref="Q3:T3"/>
    <mergeCell ref="AC2:AF2"/>
    <mergeCell ref="AC3:AF3"/>
    <mergeCell ref="C2:F2"/>
    <mergeCell ref="I2:L2"/>
    <mergeCell ref="A5:B5"/>
    <mergeCell ref="I3:L3"/>
    <mergeCell ref="CC2:CC5"/>
    <mergeCell ref="CD2:CD5"/>
    <mergeCell ref="A38:B38"/>
    <mergeCell ref="G2:H2"/>
    <mergeCell ref="G3:H3"/>
    <mergeCell ref="M2:P2"/>
    <mergeCell ref="Q2:T2"/>
    <mergeCell ref="U2:X2"/>
  </mergeCells>
  <printOptions/>
  <pageMargins left="0.1968503937007874" right="0.15748031496062992" top="0.11811023622047245" bottom="0.11811023622047245" header="0.15748031496062992" footer="0.15748031496062992"/>
  <pageSetup horizontalDpi="600" verticalDpi="600" orientation="landscape" paperSize="8" scale="98" r:id="rId3"/>
  <rowBreaks count="1" manualBreakCount="1">
    <brk id="39" max="255" man="1"/>
  </rowBreaks>
  <colBreaks count="3" manualBreakCount="3">
    <brk id="12" max="38" man="1"/>
    <brk id="24" max="38" man="1"/>
    <brk id="76" max="3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K10:M41"/>
  <sheetViews>
    <sheetView zoomScalePageLayoutView="0" workbookViewId="0" topLeftCell="A1">
      <selection activeCell="M42" sqref="M42"/>
    </sheetView>
  </sheetViews>
  <sheetFormatPr defaultColWidth="9.140625" defaultRowHeight="15"/>
  <cols>
    <col min="11" max="11" width="35.421875" style="0" bestFit="1" customWidth="1"/>
    <col min="12" max="12" width="5.00390625" style="0" bestFit="1" customWidth="1"/>
    <col min="13" max="13" width="3.00390625" style="0" bestFit="1" customWidth="1"/>
  </cols>
  <sheetData>
    <row r="10" spans="11:13" ht="14.25">
      <c r="K10" t="s">
        <v>117</v>
      </c>
      <c r="L10">
        <v>23</v>
      </c>
      <c r="M10">
        <v>1</v>
      </c>
    </row>
    <row r="11" spans="11:13" ht="14.25">
      <c r="K11" t="s">
        <v>113</v>
      </c>
      <c r="L11">
        <v>22.5</v>
      </c>
      <c r="M11">
        <v>2</v>
      </c>
    </row>
    <row r="12" spans="11:13" ht="14.25">
      <c r="K12" t="s">
        <v>128</v>
      </c>
      <c r="L12">
        <v>21.5</v>
      </c>
      <c r="M12">
        <v>3</v>
      </c>
    </row>
    <row r="13" spans="11:13" ht="14.25">
      <c r="K13" t="s">
        <v>130</v>
      </c>
      <c r="L13">
        <v>21</v>
      </c>
      <c r="M13">
        <v>4</v>
      </c>
    </row>
    <row r="14" spans="11:13" ht="14.25">
      <c r="K14" t="s">
        <v>115</v>
      </c>
      <c r="L14">
        <v>20</v>
      </c>
      <c r="M14">
        <v>5</v>
      </c>
    </row>
    <row r="15" spans="11:13" ht="14.25">
      <c r="K15" t="s">
        <v>124</v>
      </c>
      <c r="L15">
        <v>20</v>
      </c>
      <c r="M15">
        <v>5</v>
      </c>
    </row>
    <row r="16" spans="11:13" ht="14.25">
      <c r="K16" t="s">
        <v>112</v>
      </c>
      <c r="L16">
        <v>19</v>
      </c>
      <c r="M16">
        <v>6</v>
      </c>
    </row>
    <row r="17" spans="11:13" ht="14.25">
      <c r="K17" t="s">
        <v>114</v>
      </c>
      <c r="L17">
        <v>19</v>
      </c>
      <c r="M17">
        <v>6</v>
      </c>
    </row>
    <row r="18" spans="11:13" ht="14.25">
      <c r="K18" t="s">
        <v>118</v>
      </c>
      <c r="L18">
        <v>19</v>
      </c>
      <c r="M18">
        <v>6</v>
      </c>
    </row>
    <row r="19" spans="11:13" ht="14.25">
      <c r="K19" t="s">
        <v>126</v>
      </c>
      <c r="L19">
        <v>19</v>
      </c>
      <c r="M19">
        <v>6</v>
      </c>
    </row>
    <row r="20" spans="11:13" ht="14.25">
      <c r="K20" t="s">
        <v>129</v>
      </c>
      <c r="L20">
        <v>19</v>
      </c>
      <c r="M20">
        <v>6</v>
      </c>
    </row>
    <row r="21" spans="11:13" ht="14.25">
      <c r="K21" t="s">
        <v>108</v>
      </c>
      <c r="L21">
        <v>18.5</v>
      </c>
      <c r="M21">
        <v>7</v>
      </c>
    </row>
    <row r="22" spans="11:13" ht="14.25">
      <c r="K22" t="s">
        <v>119</v>
      </c>
      <c r="L22">
        <v>18</v>
      </c>
      <c r="M22">
        <v>8</v>
      </c>
    </row>
    <row r="23" spans="11:13" ht="14.25">
      <c r="K23" t="s">
        <v>121</v>
      </c>
      <c r="L23">
        <v>18</v>
      </c>
      <c r="M23">
        <v>8</v>
      </c>
    </row>
    <row r="24" spans="11:13" ht="14.25">
      <c r="K24" t="s">
        <v>125</v>
      </c>
      <c r="L24">
        <v>18</v>
      </c>
      <c r="M24">
        <v>8</v>
      </c>
    </row>
    <row r="25" spans="11:13" ht="14.25">
      <c r="K25" t="s">
        <v>131</v>
      </c>
      <c r="L25">
        <v>18</v>
      </c>
      <c r="M25">
        <v>8</v>
      </c>
    </row>
    <row r="26" spans="11:13" ht="14.25">
      <c r="K26" t="s">
        <v>133</v>
      </c>
      <c r="L26">
        <v>18</v>
      </c>
      <c r="M26">
        <v>8</v>
      </c>
    </row>
    <row r="27" spans="11:13" ht="14.25">
      <c r="K27" t="s">
        <v>137</v>
      </c>
      <c r="L27">
        <v>18</v>
      </c>
      <c r="M27">
        <v>8</v>
      </c>
    </row>
    <row r="28" spans="11:13" ht="14.25">
      <c r="K28" t="s">
        <v>111</v>
      </c>
      <c r="L28">
        <v>17.5</v>
      </c>
      <c r="M28">
        <v>9</v>
      </c>
    </row>
    <row r="29" spans="11:13" ht="14.25">
      <c r="K29" t="s">
        <v>116</v>
      </c>
      <c r="L29">
        <v>17.5</v>
      </c>
      <c r="M29">
        <v>9</v>
      </c>
    </row>
    <row r="30" spans="11:13" ht="14.25">
      <c r="K30" t="s">
        <v>134</v>
      </c>
      <c r="L30">
        <v>17.5</v>
      </c>
      <c r="M30">
        <v>9</v>
      </c>
    </row>
    <row r="31" spans="11:13" ht="14.25">
      <c r="K31" t="s">
        <v>138</v>
      </c>
      <c r="L31">
        <v>17.5</v>
      </c>
      <c r="M31">
        <v>9</v>
      </c>
    </row>
    <row r="32" spans="11:13" ht="14.25">
      <c r="K32" t="s">
        <v>139</v>
      </c>
      <c r="L32">
        <v>17.5</v>
      </c>
      <c r="M32">
        <v>9</v>
      </c>
    </row>
    <row r="33" spans="11:13" ht="14.25">
      <c r="K33" t="s">
        <v>109</v>
      </c>
      <c r="L33">
        <v>17</v>
      </c>
      <c r="M33">
        <v>10</v>
      </c>
    </row>
    <row r="34" spans="11:13" ht="14.25">
      <c r="K34" t="s">
        <v>120</v>
      </c>
      <c r="L34">
        <v>17</v>
      </c>
      <c r="M34">
        <v>10</v>
      </c>
    </row>
    <row r="35" spans="11:13" ht="14.25">
      <c r="K35" t="s">
        <v>122</v>
      </c>
      <c r="L35">
        <v>17</v>
      </c>
      <c r="M35">
        <v>10</v>
      </c>
    </row>
    <row r="36" spans="11:13" ht="14.25">
      <c r="K36" t="s">
        <v>123</v>
      </c>
      <c r="L36">
        <v>16.5</v>
      </c>
      <c r="M36">
        <v>11</v>
      </c>
    </row>
    <row r="37" spans="11:13" ht="14.25">
      <c r="K37" t="s">
        <v>127</v>
      </c>
      <c r="L37">
        <v>16.5</v>
      </c>
      <c r="M37">
        <v>11</v>
      </c>
    </row>
    <row r="38" spans="11:13" ht="14.25">
      <c r="K38" t="s">
        <v>135</v>
      </c>
      <c r="L38">
        <v>16.5</v>
      </c>
      <c r="M38">
        <v>11</v>
      </c>
    </row>
    <row r="39" spans="11:13" ht="14.25">
      <c r="K39" t="s">
        <v>136</v>
      </c>
      <c r="L39">
        <v>16.5</v>
      </c>
      <c r="M39">
        <v>11</v>
      </c>
    </row>
    <row r="40" spans="11:13" ht="14.25">
      <c r="K40" t="s">
        <v>132</v>
      </c>
      <c r="L40">
        <v>16</v>
      </c>
      <c r="M40">
        <v>12</v>
      </c>
    </row>
    <row r="41" spans="11:13" ht="14.25">
      <c r="K41" t="s">
        <v>110</v>
      </c>
      <c r="L41">
        <v>15.5</v>
      </c>
      <c r="M41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Хохлова Н.В.</cp:lastModifiedBy>
  <cp:lastPrinted>2021-06-30T07:52:14Z</cp:lastPrinted>
  <dcterms:created xsi:type="dcterms:W3CDTF">2019-09-11T06:52:20Z</dcterms:created>
  <dcterms:modified xsi:type="dcterms:W3CDTF">2021-07-30T07:14:30Z</dcterms:modified>
  <cp:category/>
  <cp:version/>
  <cp:contentType/>
  <cp:contentStatus/>
</cp:coreProperties>
</file>