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00" windowWidth="10120" windowHeight="1460" tabRatio="711" activeTab="0"/>
  </bookViews>
  <sheets>
    <sheet name="за 1 кв." sheetId="1" r:id="rId1"/>
  </sheets>
  <definedNames>
    <definedName name="_xlfn.BAHTTEXT" hidden="1">#NAME?</definedName>
    <definedName name="_xlnm.Print_Titles" localSheetId="0">'за 1 кв.'!$A:$A</definedName>
    <definedName name="_xlnm.Print_Area" localSheetId="0">'за 1 кв.'!$A$1:$BB$41</definedName>
  </definedNames>
  <calcPr fullCalcOnLoad="1"/>
</workbook>
</file>

<file path=xl/sharedStrings.xml><?xml version="1.0" encoding="utf-8"?>
<sst xmlns="http://schemas.openxmlformats.org/spreadsheetml/2006/main" count="161" uniqueCount="115">
  <si>
    <t>ИТОГО</t>
  </si>
  <si>
    <t>Аi</t>
  </si>
  <si>
    <t>Бi</t>
  </si>
  <si>
    <t>Вi</t>
  </si>
  <si>
    <t>Нормативное значение</t>
  </si>
  <si>
    <t>≤0,05</t>
  </si>
  <si>
    <t>P1</t>
  </si>
  <si>
    <t>P2</t>
  </si>
  <si>
    <t>P3</t>
  </si>
  <si>
    <t>P4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</si>
  <si>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</si>
  <si>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</si>
  <si>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</si>
  <si>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</si>
  <si>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</si>
  <si>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Объем муниципального долга</t>
  </si>
  <si>
    <t>Общий годовой объем доходов местного бюджета</t>
  </si>
  <si>
    <t>Объем безвозмездных поступлений</t>
  </si>
  <si>
    <t>Объем поступлений по дополнительным нормативам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</si>
  <si>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</si>
  <si>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</si>
  <si>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</si>
  <si>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</si>
  <si>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</si>
  <si>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</si>
  <si>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</si>
  <si>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</si>
  <si>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</si>
  <si>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</si>
  <si>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</si>
  <si>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</si>
  <si>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</si>
  <si>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</si>
  <si>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</si>
  <si>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</si>
  <si>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</si>
  <si>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</si>
  <si>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</si>
  <si>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</si>
  <si>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</si>
  <si>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</si>
  <si>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</si>
  <si>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</si>
  <si>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</si>
  <si>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Р5 = Ai/Бi</t>
  </si>
  <si>
    <t>если -, то 0</t>
  </si>
  <si>
    <t>Доходы без безвозмездных и доп нормативов</t>
  </si>
  <si>
    <t>5% или 10% от собственных доходов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</si>
  <si>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</si>
  <si>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Р1 = Аi / (Бi + Вi),                                    если Бi &lt; 0, то Р1 = Аi / Вi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</si>
  <si>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</si>
  <si>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</si>
  <si>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план</t>
  </si>
  <si>
    <t>Задолженность по бюджетным кредитам</t>
  </si>
  <si>
    <t>до 10%</t>
  </si>
  <si>
    <t>от 10 до 30</t>
  </si>
  <si>
    <t>от 30 до 70</t>
  </si>
  <si>
    <t xml:space="preserve">от 70 до 90 </t>
  </si>
  <si>
    <t>свыше 90</t>
  </si>
  <si>
    <t>ГО</t>
  </si>
  <si>
    <t>МР</t>
  </si>
  <si>
    <t>Дотации</t>
  </si>
  <si>
    <t>Доля</t>
  </si>
  <si>
    <t>дотаций</t>
  </si>
  <si>
    <t>до 4,9%</t>
  </si>
  <si>
    <t>от 5 до 19,9</t>
  </si>
  <si>
    <t>от 20 до 49,9</t>
  </si>
  <si>
    <t xml:space="preserve">от 50 до 89,9 </t>
  </si>
  <si>
    <t>P5.2</t>
  </si>
  <si>
    <t>Объем расходов на содержание органов местного самоуправления, утвержденный в местном бюджете на текущий финансовый год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</si>
  <si>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</si>
  <si>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 xml:space="preserve">Объем расходов на содержание органов местного самоуправления по утвержденному нормативу </t>
  </si>
  <si>
    <t>получение кредитов (бюдж+банковские)</t>
  </si>
  <si>
    <t>итого источников</t>
  </si>
  <si>
    <t>погашение кредитов (бюдж+банковские)</t>
  </si>
  <si>
    <t>P5.1</t>
  </si>
  <si>
    <t>Количество баллов</t>
  </si>
  <si>
    <t>P7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</si>
  <si>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</si>
  <si>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c 22 года см. 107.1 пункт 9 (при низкой долговой устойчивости внезависимости от дотационности МО должны соблюдать ограничения по п.4 ст.136</t>
  </si>
  <si>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01.04.2021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</si>
  <si>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</si>
  <si>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</si>
  <si>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</si>
  <si>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</si>
  <si>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</si>
  <si>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</si>
  <si>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</si>
  <si>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</si>
  <si>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</si>
  <si>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</si>
  <si>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</si>
  <si>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</si>
  <si>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</si>
  <si>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</si>
  <si>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</si>
  <si>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</si>
  <si>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</si>
  <si>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</si>
  <si>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</si>
  <si>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</si>
  <si>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</si>
  <si>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</si>
  <si>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</si>
  <si>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</si>
  <si>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</si>
  <si>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</si>
  <si>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</si>
  <si>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</si>
  <si>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</si>
  <si>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</si>
  <si>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</si>
  <si>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Наименование МР (МО, ГО)</t>
  </si>
  <si>
    <t>Единица измерения: тыс.рублей, баллы</t>
  </si>
  <si>
    <t>Объем налоговых поступлений по дополнительным нормативам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</si>
</sst>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_-* #,##0.0_р_._-;\-* #,##0.0_р_._-;_-* &quot;-&quot;??_р_._-;_-@_-"/>
    <numFmt numFmtId="175" formatCode="#,##0_ ;[Red]\-#,##0\ 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;[Red]\-0\ "/>
    <numFmt numFmtId="183" formatCode="0.0_ ;[Red]\-0.0\ "/>
    <numFmt numFmtId="184" formatCode="#,##0.0_ ;[Red]\-#,##0.0\ "/>
    <numFmt numFmtId="185" formatCode="#,##0.00_ ;[Red]\-#,##0.00\ "/>
    <numFmt numFmtId="186" formatCode="0.00_ ;[Red]\-0.00\ "/>
    <numFmt numFmtId="187" formatCode="_-* #,##0.0_р_._-;\-* #,##0.0_р_._-;_-* &quot;-&quot;?_р_._-;_-@_-"/>
    <numFmt numFmtId="188" formatCode="#,##0.00_ ;\-#,##0.00\ "/>
    <numFmt numFmtId="189" formatCode="#,##0.000_ ;\-#,##0.000\ "/>
    <numFmt numFmtId="190" formatCode="#,##0.0_ ;\-#,##0.0\ "/>
    <numFmt numFmtId="191" formatCode="#,##0_ ;\-#,##0\ "/>
    <numFmt numFmtId="192" formatCode="#,##0.000_ ;[Red]\-#,##0.000\ "/>
    <numFmt numFmtId="193" formatCode="#,##0.00000"/>
    <numFmt numFmtId="194" formatCode="#,##0.0000"/>
    <numFmt numFmtId="195" formatCode="#,##0.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00000_ ;[Red]\-#,##0.0000000\ "/>
    <numFmt numFmtId="205" formatCode="#,##0.00000000_ ;[Red]\-#,##0.00000000\ "/>
    <numFmt numFmtId="206" formatCode="#,##0.000000000_ ;[Red]\-#,##0.000000000\ "/>
    <numFmt numFmtId="207" formatCode="#,##0.0000_ ;\-#,##0.0000\ "/>
    <numFmt numFmtId="208" formatCode="0.0%"/>
    <numFmt numFmtId="209" formatCode="_-* #,##0.000_р_._-;\-* #,##0.000_р_._-;_-* &quot;-&quot;??_р_._-;_-@_-"/>
    <numFmt numFmtId="210" formatCode="_-* #,##0.0000_р_._-;\-* #,##0.0000_р_._-;_-* &quot;-&quot;??_р_._-;_-@_-"/>
    <numFmt numFmtId="211" formatCode="_-* #,##0_р_._-;\-* #,##0_р_._-;_-* &quot;-&quot;?_р_._-;_-@_-"/>
    <numFmt numFmtId="212" formatCode="_-* #,##0.00_р_._-;\-* #,##0.00_р_._-;_-* &quot;-&quot;?_р_._-;_-@_-"/>
    <numFmt numFmtId="213" formatCode="0.000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#,##0.0000000000_ ;[Red]\-#,##0.0000000000\ "/>
    <numFmt numFmtId="221" formatCode="#,##0.00000000000_ ;[Red]\-#,##0.00000000000\ "/>
    <numFmt numFmtId="222" formatCode="#,##0.000000000000_ ;[Red]\-#,##0.000000000000\ "/>
    <numFmt numFmtId="223" formatCode="#,##0.0000000000000_ ;[Red]\-#,##0.0000000000000\ "/>
    <numFmt numFmtId="224" formatCode="#,##0.00000000000000_ ;[Red]\-#,##0.00000000000000\ "/>
    <numFmt numFmtId="225" formatCode="#,##0.000000000000000_ ;[Red]\-#,##0.000000000000000\ "/>
    <numFmt numFmtId="226" formatCode="_-* #,##0.0\ _₽_-;\-* #,##0.0\ _₽_-;_-* &quot;-&quot;?\ _₽_-;_-@_-"/>
    <numFmt numFmtId="227" formatCode="#"/>
  </numFmts>
  <fonts count="3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i/>
      <u val="single"/>
      <sz val="11"/>
      <name val="Times New Roman"/>
      <family val="1"/>
    </font>
    <font>
      <sz val="10"/>
      <color indexed="30"/>
      <name val="Times New Roman"/>
      <family val="1"/>
    </font>
    <font>
      <b/>
      <sz val="10"/>
      <name val="Arial Cyr"/>
      <family val="0"/>
    </font>
    <font>
      <i/>
      <sz val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double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0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72" fontId="1" fillId="0" borderId="13" xfId="62" applyNumberFormat="1" applyFont="1" applyBorder="1" applyAlignment="1">
      <alignment/>
    </xf>
    <xf numFmtId="172" fontId="1" fillId="0" borderId="10" xfId="62" applyNumberFormat="1" applyFont="1" applyBorder="1" applyAlignment="1">
      <alignment/>
    </xf>
    <xf numFmtId="172" fontId="3" fillId="23" borderId="14" xfId="62" applyNumberFormat="1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5" fillId="23" borderId="17" xfId="0" applyFont="1" applyFill="1" applyBorder="1" applyAlignment="1">
      <alignment horizontal="center"/>
    </xf>
    <xf numFmtId="172" fontId="3" fillId="23" borderId="18" xfId="62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0" fontId="3" fillId="20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23" borderId="21" xfId="0" applyFont="1" applyFill="1" applyBorder="1" applyAlignment="1">
      <alignment horizontal="center"/>
    </xf>
    <xf numFmtId="172" fontId="3" fillId="23" borderId="23" xfId="62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" fillId="23" borderId="26" xfId="0" applyFont="1" applyFill="1" applyBorder="1" applyAlignment="1">
      <alignment horizontal="center"/>
    </xf>
    <xf numFmtId="172" fontId="1" fillId="0" borderId="27" xfId="62" applyNumberFormat="1" applyFont="1" applyBorder="1" applyAlignment="1">
      <alignment/>
    </xf>
    <xf numFmtId="172" fontId="3" fillId="23" borderId="28" xfId="6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 vertical="center" wrapText="1"/>
    </xf>
    <xf numFmtId="174" fontId="3" fillId="0" borderId="29" xfId="62" applyNumberFormat="1" applyFont="1" applyBorder="1" applyAlignment="1">
      <alignment/>
    </xf>
    <xf numFmtId="174" fontId="3" fillId="23" borderId="28" xfId="62" applyNumberFormat="1" applyFont="1" applyFill="1" applyBorder="1" applyAlignment="1">
      <alignment horizontal="center"/>
    </xf>
    <xf numFmtId="174" fontId="1" fillId="0" borderId="13" xfId="62" applyNumberFormat="1" applyFont="1" applyBorder="1" applyAlignment="1">
      <alignment/>
    </xf>
    <xf numFmtId="174" fontId="1" fillId="0" borderId="13" xfId="62" applyNumberFormat="1" applyFont="1" applyFill="1" applyBorder="1" applyAlignment="1">
      <alignment/>
    </xf>
    <xf numFmtId="184" fontId="1" fillId="0" borderId="27" xfId="62" applyNumberFormat="1" applyFont="1" applyFill="1" applyBorder="1" applyAlignment="1">
      <alignment/>
    </xf>
    <xf numFmtId="184" fontId="1" fillId="0" borderId="10" xfId="62" applyNumberFormat="1" applyFont="1" applyFill="1" applyBorder="1" applyAlignment="1">
      <alignment/>
    </xf>
    <xf numFmtId="172" fontId="1" fillId="0" borderId="13" xfId="62" applyNumberFormat="1" applyFont="1" applyFill="1" applyBorder="1" applyAlignment="1">
      <alignment/>
    </xf>
    <xf numFmtId="184" fontId="1" fillId="0" borderId="30" xfId="62" applyNumberFormat="1" applyFont="1" applyFill="1" applyBorder="1" applyAlignment="1">
      <alignment/>
    </xf>
    <xf numFmtId="0" fontId="3" fillId="20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/>
    </xf>
    <xf numFmtId="0" fontId="3" fillId="3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0" fontId="3" fillId="24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5" fillId="23" borderId="36" xfId="0" applyFont="1" applyFill="1" applyBorder="1" applyAlignment="1">
      <alignment horizontal="center"/>
    </xf>
    <xf numFmtId="0" fontId="3" fillId="23" borderId="12" xfId="0" applyFont="1" applyFill="1" applyBorder="1" applyAlignment="1">
      <alignment horizontal="center"/>
    </xf>
    <xf numFmtId="0" fontId="5" fillId="23" borderId="35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185" fontId="3" fillId="0" borderId="30" xfId="62" applyNumberFormat="1" applyFont="1" applyBorder="1" applyAlignment="1">
      <alignment/>
    </xf>
    <xf numFmtId="196" fontId="1" fillId="0" borderId="13" xfId="62" applyNumberFormat="1" applyFont="1" applyFill="1" applyBorder="1" applyAlignment="1">
      <alignment/>
    </xf>
    <xf numFmtId="184" fontId="1" fillId="0" borderId="10" xfId="62" applyNumberFormat="1" applyFont="1" applyBorder="1" applyAlignment="1">
      <alignment/>
    </xf>
    <xf numFmtId="172" fontId="1" fillId="0" borderId="10" xfId="62" applyNumberFormat="1" applyFont="1" applyFill="1" applyBorder="1" applyAlignment="1">
      <alignment/>
    </xf>
    <xf numFmtId="174" fontId="3" fillId="0" borderId="29" xfId="62" applyNumberFormat="1" applyFont="1" applyFill="1" applyBorder="1" applyAlignment="1">
      <alignment/>
    </xf>
    <xf numFmtId="172" fontId="1" fillId="0" borderId="27" xfId="62" applyNumberFormat="1" applyFont="1" applyFill="1" applyBorder="1" applyAlignment="1">
      <alignment/>
    </xf>
    <xf numFmtId="183" fontId="3" fillId="0" borderId="10" xfId="62" applyNumberFormat="1" applyFont="1" applyBorder="1" applyAlignment="1">
      <alignment/>
    </xf>
    <xf numFmtId="174" fontId="3" fillId="0" borderId="38" xfId="62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185" fontId="3" fillId="0" borderId="30" xfId="62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184" fontId="1" fillId="0" borderId="30" xfId="62" applyNumberFormat="1" applyFont="1" applyBorder="1" applyAlignment="1">
      <alignment/>
    </xf>
    <xf numFmtId="184" fontId="1" fillId="0" borderId="27" xfId="62" applyNumberFormat="1" applyFont="1" applyBorder="1" applyAlignment="1">
      <alignment/>
    </xf>
    <xf numFmtId="0" fontId="3" fillId="23" borderId="40" xfId="0" applyFont="1" applyFill="1" applyBorder="1" applyAlignment="1" applyProtection="1">
      <alignment/>
      <protection/>
    </xf>
    <xf numFmtId="172" fontId="3" fillId="23" borderId="41" xfId="62" applyNumberFormat="1" applyFont="1" applyFill="1" applyBorder="1" applyAlignment="1">
      <alignment horizontal="center"/>
    </xf>
    <xf numFmtId="172" fontId="3" fillId="23" borderId="42" xfId="62" applyNumberFormat="1" applyFont="1" applyFill="1" applyBorder="1" applyAlignment="1">
      <alignment horizontal="center"/>
    </xf>
    <xf numFmtId="174" fontId="3" fillId="25" borderId="38" xfId="62" applyNumberFormat="1" applyFont="1" applyFill="1" applyBorder="1" applyAlignment="1">
      <alignment/>
    </xf>
    <xf numFmtId="184" fontId="1" fillId="25" borderId="30" xfId="62" applyNumberFormat="1" applyFont="1" applyFill="1" applyBorder="1" applyAlignment="1">
      <alignment/>
    </xf>
    <xf numFmtId="0" fontId="29" fillId="24" borderId="11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185" fontId="1" fillId="0" borderId="30" xfId="62" applyNumberFormat="1" applyFont="1" applyFill="1" applyBorder="1" applyAlignment="1">
      <alignment/>
    </xf>
    <xf numFmtId="185" fontId="1" fillId="0" borderId="30" xfId="62" applyNumberFormat="1" applyFont="1" applyBorder="1" applyAlignment="1">
      <alignment/>
    </xf>
    <xf numFmtId="181" fontId="3" fillId="0" borderId="10" xfId="62" applyNumberFormat="1" applyFont="1" applyBorder="1" applyAlignment="1">
      <alignment/>
    </xf>
    <xf numFmtId="181" fontId="3" fillId="0" borderId="10" xfId="62" applyNumberFormat="1" applyFont="1" applyFill="1" applyBorder="1" applyAlignment="1">
      <alignment/>
    </xf>
    <xf numFmtId="181" fontId="3" fillId="25" borderId="10" xfId="62" applyNumberFormat="1" applyFont="1" applyFill="1" applyBorder="1" applyAlignment="1">
      <alignment/>
    </xf>
    <xf numFmtId="174" fontId="1" fillId="0" borderId="10" xfId="62" applyNumberFormat="1" applyFont="1" applyFill="1" applyBorder="1" applyAlignment="1">
      <alignment/>
    </xf>
    <xf numFmtId="183" fontId="3" fillId="0" borderId="10" xfId="62" applyNumberFormat="1" applyFont="1" applyFill="1" applyBorder="1" applyAlignment="1">
      <alignment/>
    </xf>
    <xf numFmtId="174" fontId="3" fillId="0" borderId="38" xfId="62" applyNumberFormat="1" applyFont="1" applyFill="1" applyBorder="1" applyAlignment="1">
      <alignment/>
    </xf>
    <xf numFmtId="184" fontId="1" fillId="0" borderId="43" xfId="62" applyNumberFormat="1" applyFont="1" applyFill="1" applyBorder="1" applyAlignment="1">
      <alignment/>
    </xf>
    <xf numFmtId="0" fontId="0" fillId="0" borderId="0" xfId="0" applyFill="1" applyAlignment="1">
      <alignment/>
    </xf>
    <xf numFmtId="208" fontId="0" fillId="25" borderId="0" xfId="57" applyNumberFormat="1" applyFont="1" applyFill="1" applyAlignment="1">
      <alignment/>
    </xf>
    <xf numFmtId="185" fontId="0" fillId="0" borderId="0" xfId="0" applyNumberFormat="1" applyAlignment="1">
      <alignment/>
    </xf>
    <xf numFmtId="0" fontId="3" fillId="0" borderId="0" xfId="0" applyFont="1" applyAlignment="1">
      <alignment/>
    </xf>
    <xf numFmtId="17" fontId="0" fillId="25" borderId="0" xfId="0" applyNumberFormat="1" applyFill="1" applyAlignment="1">
      <alignment/>
    </xf>
    <xf numFmtId="0" fontId="31" fillId="26" borderId="0" xfId="0" applyFont="1" applyFill="1" applyAlignment="1">
      <alignment/>
    </xf>
    <xf numFmtId="0" fontId="0" fillId="26" borderId="0" xfId="0" applyFill="1" applyAlignment="1">
      <alignment/>
    </xf>
    <xf numFmtId="175" fontId="1" fillId="0" borderId="10" xfId="62" applyNumberFormat="1" applyFont="1" applyFill="1" applyBorder="1" applyAlignment="1">
      <alignment/>
    </xf>
    <xf numFmtId="0" fontId="0" fillId="25" borderId="0" xfId="0" applyFill="1" applyAlignment="1">
      <alignment horizontal="center"/>
    </xf>
    <xf numFmtId="173" fontId="1" fillId="0" borderId="0" xfId="0" applyNumberFormat="1" applyFont="1" applyAlignment="1">
      <alignment/>
    </xf>
    <xf numFmtId="4" fontId="1" fillId="0" borderId="13" xfId="62" applyNumberFormat="1" applyFont="1" applyFill="1" applyBorder="1" applyAlignment="1">
      <alignment/>
    </xf>
    <xf numFmtId="0" fontId="1" fillId="27" borderId="39" xfId="0" applyFont="1" applyFill="1" applyBorder="1" applyAlignment="1">
      <alignment/>
    </xf>
    <xf numFmtId="184" fontId="1" fillId="27" borderId="30" xfId="62" applyNumberFormat="1" applyFont="1" applyFill="1" applyBorder="1" applyAlignment="1">
      <alignment/>
    </xf>
    <xf numFmtId="185" fontId="3" fillId="27" borderId="30" xfId="62" applyNumberFormat="1" applyFont="1" applyFill="1" applyBorder="1" applyAlignment="1">
      <alignment/>
    </xf>
    <xf numFmtId="172" fontId="1" fillId="27" borderId="13" xfId="62" applyNumberFormat="1" applyFont="1" applyFill="1" applyBorder="1" applyAlignment="1">
      <alignment/>
    </xf>
    <xf numFmtId="172" fontId="1" fillId="27" borderId="10" xfId="62" applyNumberFormat="1" applyFont="1" applyFill="1" applyBorder="1" applyAlignment="1">
      <alignment/>
    </xf>
    <xf numFmtId="174" fontId="3" fillId="27" borderId="29" xfId="62" applyNumberFormat="1" applyFont="1" applyFill="1" applyBorder="1" applyAlignment="1">
      <alignment/>
    </xf>
    <xf numFmtId="185" fontId="1" fillId="27" borderId="30" xfId="62" applyNumberFormat="1" applyFont="1" applyFill="1" applyBorder="1" applyAlignment="1">
      <alignment/>
    </xf>
    <xf numFmtId="4" fontId="1" fillId="27" borderId="13" xfId="62" applyNumberFormat="1" applyFont="1" applyFill="1" applyBorder="1" applyAlignment="1">
      <alignment/>
    </xf>
    <xf numFmtId="184" fontId="1" fillId="27" borderId="27" xfId="62" applyNumberFormat="1" applyFont="1" applyFill="1" applyBorder="1" applyAlignment="1">
      <alignment/>
    </xf>
    <xf numFmtId="196" fontId="1" fillId="27" borderId="13" xfId="62" applyNumberFormat="1" applyFont="1" applyFill="1" applyBorder="1" applyAlignment="1">
      <alignment/>
    </xf>
    <xf numFmtId="184" fontId="1" fillId="27" borderId="10" xfId="62" applyNumberFormat="1" applyFont="1" applyFill="1" applyBorder="1" applyAlignment="1">
      <alignment/>
    </xf>
    <xf numFmtId="181" fontId="3" fillId="27" borderId="10" xfId="62" applyNumberFormat="1" applyFont="1" applyFill="1" applyBorder="1" applyAlignment="1">
      <alignment/>
    </xf>
    <xf numFmtId="174" fontId="1" fillId="27" borderId="10" xfId="62" applyNumberFormat="1" applyFont="1" applyFill="1" applyBorder="1" applyAlignment="1">
      <alignment/>
    </xf>
    <xf numFmtId="172" fontId="1" fillId="27" borderId="27" xfId="62" applyNumberFormat="1" applyFont="1" applyFill="1" applyBorder="1" applyAlignment="1">
      <alignment/>
    </xf>
    <xf numFmtId="183" fontId="3" fillId="27" borderId="10" xfId="62" applyNumberFormat="1" applyFont="1" applyFill="1" applyBorder="1" applyAlignment="1">
      <alignment/>
    </xf>
    <xf numFmtId="174" fontId="3" fillId="27" borderId="38" xfId="62" applyNumberFormat="1" applyFont="1" applyFill="1" applyBorder="1" applyAlignment="1">
      <alignment/>
    </xf>
    <xf numFmtId="174" fontId="1" fillId="27" borderId="13" xfId="62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180" fontId="3" fillId="0" borderId="10" xfId="62" applyNumberFormat="1" applyFont="1" applyBorder="1" applyAlignment="1">
      <alignment/>
    </xf>
    <xf numFmtId="180" fontId="3" fillId="27" borderId="10" xfId="62" applyNumberFormat="1" applyFont="1" applyFill="1" applyBorder="1" applyAlignment="1">
      <alignment/>
    </xf>
    <xf numFmtId="180" fontId="3" fillId="0" borderId="10" xfId="62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3" fillId="24" borderId="17" xfId="0" applyFont="1" applyFill="1" applyBorder="1" applyAlignment="1">
      <alignment horizontal="center" vertical="center" wrapText="1"/>
    </xf>
    <xf numFmtId="173" fontId="3" fillId="24" borderId="21" xfId="0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/>
    </xf>
    <xf numFmtId="173" fontId="1" fillId="0" borderId="44" xfId="64" applyNumberFormat="1" applyFont="1" applyFill="1" applyBorder="1" applyAlignment="1">
      <alignment horizontal="center"/>
    </xf>
    <xf numFmtId="174" fontId="1" fillId="0" borderId="13" xfId="64" applyNumberFormat="1" applyFont="1" applyFill="1" applyBorder="1" applyAlignment="1">
      <alignment horizontal="center"/>
    </xf>
    <xf numFmtId="174" fontId="1" fillId="0" borderId="13" xfId="64" applyNumberFormat="1" applyFont="1" applyFill="1" applyBorder="1" applyAlignment="1">
      <alignment/>
    </xf>
    <xf numFmtId="172" fontId="3" fillId="23" borderId="28" xfId="64" applyNumberFormat="1" applyFont="1" applyFill="1" applyBorder="1" applyAlignment="1">
      <alignment horizontal="center"/>
    </xf>
    <xf numFmtId="172" fontId="3" fillId="23" borderId="14" xfId="64" applyNumberFormat="1" applyFont="1" applyFill="1" applyBorder="1" applyAlignment="1">
      <alignment horizontal="center"/>
    </xf>
    <xf numFmtId="172" fontId="3" fillId="23" borderId="23" xfId="64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208" fontId="0" fillId="0" borderId="0" xfId="57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28" borderId="44" xfId="0" applyFont="1" applyFill="1" applyBorder="1" applyAlignment="1">
      <alignment horizontal="center"/>
    </xf>
    <xf numFmtId="0" fontId="3" fillId="28" borderId="15" xfId="0" applyFont="1" applyFill="1" applyBorder="1" applyAlignment="1">
      <alignment/>
    </xf>
    <xf numFmtId="0" fontId="3" fillId="28" borderId="19" xfId="0" applyFont="1" applyFill="1" applyBorder="1" applyAlignment="1">
      <alignment/>
    </xf>
    <xf numFmtId="0" fontId="6" fillId="8" borderId="45" xfId="0" applyFont="1" applyFill="1" applyBorder="1" applyAlignment="1">
      <alignment horizontal="center" vertical="center"/>
    </xf>
    <xf numFmtId="184" fontId="1" fillId="27" borderId="44" xfId="62" applyNumberFormat="1" applyFont="1" applyFill="1" applyBorder="1" applyAlignment="1">
      <alignment/>
    </xf>
    <xf numFmtId="0" fontId="6" fillId="8" borderId="46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5" fontId="0" fillId="0" borderId="0" xfId="0" applyNumberFormat="1" applyFill="1" applyAlignment="1">
      <alignment/>
    </xf>
    <xf numFmtId="0" fontId="1" fillId="0" borderId="4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8" borderId="49" xfId="0" applyFont="1" applyFill="1" applyBorder="1" applyAlignment="1">
      <alignment horizontal="center" vertical="center"/>
    </xf>
    <xf numFmtId="0" fontId="6" fillId="29" borderId="50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171" fontId="2" fillId="0" borderId="0" xfId="62" applyFont="1" applyAlignment="1">
      <alignment horizontal="center" wrapText="1"/>
    </xf>
    <xf numFmtId="171" fontId="2" fillId="0" borderId="52" xfId="62" applyFont="1" applyBorder="1" applyAlignment="1">
      <alignment horizont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6" fillId="30" borderId="53" xfId="0" applyFont="1" applyFill="1" applyBorder="1" applyAlignment="1">
      <alignment horizontal="center" vertical="center"/>
    </xf>
    <xf numFmtId="0" fontId="6" fillId="30" borderId="50" xfId="0" applyFont="1" applyFill="1" applyBorder="1" applyAlignment="1">
      <alignment horizontal="center" vertical="center"/>
    </xf>
    <xf numFmtId="0" fontId="6" fillId="30" borderId="56" xfId="0" applyFont="1" applyFill="1" applyBorder="1" applyAlignment="1">
      <alignment horizontal="center" vertical="center"/>
    </xf>
    <xf numFmtId="0" fontId="6" fillId="29" borderId="5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tabSelected="1" zoomScale="65" zoomScaleNormal="65" zoomScaleSheetLayoutView="70" workbookViewId="0" topLeftCell="A1">
      <pane xSplit="1" ySplit="10" topLeftCell="AL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O6" sqref="AO6"/>
    </sheetView>
  </sheetViews>
  <sheetFormatPr defaultColWidth="9.125" defaultRowHeight="12.75"/>
  <cols>
    <col min="1" max="1" width="30.25390625" style="0" customWidth="1"/>
    <col min="2" max="2" width="22.00390625" style="0" customWidth="1"/>
    <col min="3" max="3" width="20.375" style="0" customWidth="1"/>
    <col min="4" max="4" width="20.125" style="0" customWidth="1"/>
    <col min="5" max="5" width="32.875" style="0" customWidth="1"/>
    <col min="6" max="6" width="17.875" style="0" customWidth="1"/>
    <col min="7" max="7" width="23.625" style="0" customWidth="1"/>
    <col min="8" max="8" width="15.75390625" style="0" customWidth="1"/>
    <col min="9" max="10" width="20.125" style="0" customWidth="1"/>
    <col min="11" max="11" width="17.625" style="0" customWidth="1"/>
    <col min="12" max="12" width="17.50390625" style="0" customWidth="1"/>
    <col min="13" max="13" width="12.875" style="0" customWidth="1"/>
    <col min="14" max="14" width="21.50390625" style="0" customWidth="1"/>
    <col min="15" max="15" width="16.625" style="0" customWidth="1"/>
    <col min="16" max="16" width="17.125" style="0" customWidth="1"/>
    <col min="17" max="17" width="14.50390625" style="0" customWidth="1"/>
    <col min="18" max="18" width="21.50390625" style="0" customWidth="1"/>
    <col min="19" max="19" width="25.375" style="0" customWidth="1"/>
    <col min="20" max="20" width="24.375" style="0" customWidth="1"/>
    <col min="21" max="21" width="29.625" style="0" customWidth="1"/>
    <col min="22" max="22" width="18.00390625" style="0" customWidth="1"/>
    <col min="23" max="23" width="23.625" style="0" customWidth="1"/>
    <col min="24" max="24" width="14.00390625" style="0" customWidth="1"/>
    <col min="25" max="25" width="16.75390625" style="0" customWidth="1"/>
    <col min="26" max="26" width="15.125" style="0" customWidth="1"/>
    <col min="27" max="27" width="16.25390625" style="0" customWidth="1"/>
    <col min="28" max="28" width="20.625" style="0" hidden="1" customWidth="1"/>
    <col min="29" max="29" width="14.875" style="0" customWidth="1"/>
    <col min="30" max="30" width="15.125" style="0" customWidth="1"/>
    <col min="31" max="31" width="14.00390625" style="0" customWidth="1"/>
    <col min="32" max="32" width="15.375" style="0" hidden="1" customWidth="1"/>
    <col min="33" max="33" width="20.375" style="0" hidden="1" customWidth="1"/>
    <col min="34" max="34" width="1.25" style="0" hidden="1" customWidth="1"/>
    <col min="35" max="35" width="25.50390625" style="0" customWidth="1"/>
    <col min="36" max="36" width="12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6.00390625" style="0" customWidth="1"/>
    <col min="42" max="42" width="16.875" style="0" customWidth="1"/>
    <col min="43" max="43" width="21.125" style="0" customWidth="1"/>
    <col min="44" max="44" width="20.50390625" style="0" customWidth="1"/>
    <col min="45" max="45" width="32.00390625" style="0" customWidth="1"/>
    <col min="46" max="46" width="27.50390625" style="0" customWidth="1"/>
    <col min="47" max="47" width="31.50390625" style="0" customWidth="1"/>
    <col min="48" max="48" width="15.25390625" style="0" customWidth="1"/>
    <col min="49" max="49" width="24.00390625" style="0" customWidth="1"/>
    <col min="50" max="50" width="16.125" style="0" customWidth="1"/>
    <col min="51" max="52" width="17.875" style="0" hidden="1" customWidth="1"/>
    <col min="53" max="53" width="14.875" style="0" hidden="1" customWidth="1"/>
    <col min="54" max="54" width="13.875" style="0" customWidth="1"/>
    <col min="55" max="55" width="9.125" style="69" customWidth="1"/>
    <col min="56" max="56" width="13.875" style="0" hidden="1" customWidth="1"/>
    <col min="57" max="59" width="0" style="69" hidden="1" customWidth="1"/>
    <col min="60" max="62" width="12.375" style="69" hidden="1" customWidth="1"/>
    <col min="63" max="63" width="11.00390625" style="69" hidden="1" customWidth="1"/>
    <col min="64" max="66" width="0" style="69" hidden="1" customWidth="1"/>
    <col min="67" max="67" width="12.375" style="69" hidden="1" customWidth="1"/>
    <col min="68" max="68" width="12.875" style="69" hidden="1" customWidth="1"/>
    <col min="69" max="69" width="13.00390625" style="69" hidden="1" customWidth="1"/>
    <col min="70" max="70" width="11.00390625" style="69" hidden="1" customWidth="1"/>
    <col min="71" max="16384" width="9.125" style="69" customWidth="1"/>
  </cols>
  <sheetData>
    <row r="1" spans="1:56" s="70" customFormat="1" ht="16.5" customHeight="1">
      <c r="A1" s="1"/>
      <c r="B1" s="144" t="s">
        <v>80</v>
      </c>
      <c r="C1" s="144"/>
      <c r="D1" s="144"/>
      <c r="E1" s="144"/>
      <c r="F1" s="144"/>
      <c r="G1" s="144"/>
      <c r="H1" s="144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27"/>
      <c r="AM1" s="27"/>
      <c r="AN1" s="28"/>
      <c r="AO1" s="28"/>
      <c r="AP1" s="28"/>
      <c r="AQ1" s="27"/>
      <c r="AR1" s="71"/>
      <c r="AS1" s="27"/>
      <c r="AT1" s="27"/>
      <c r="AU1" s="28"/>
      <c r="AV1" s="28"/>
      <c r="AW1" s="27"/>
      <c r="AX1" s="1"/>
      <c r="BB1" s="1"/>
      <c r="BD1" s="1"/>
    </row>
    <row r="2" spans="2:56" ht="12.75" customHeight="1" hidden="1">
      <c r="B2" s="144"/>
      <c r="C2" s="144"/>
      <c r="D2" s="144"/>
      <c r="E2" s="144"/>
      <c r="F2" s="144"/>
      <c r="G2" s="144"/>
      <c r="H2" s="144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BC2" s="70"/>
      <c r="BD2" s="1"/>
    </row>
    <row r="3" spans="1:56" ht="13.5" thickBot="1">
      <c r="A3" s="135" t="s">
        <v>113</v>
      </c>
      <c r="B3" s="145"/>
      <c r="C3" s="145"/>
      <c r="D3" s="145"/>
      <c r="E3" s="145"/>
      <c r="F3" s="145"/>
      <c r="G3" s="145"/>
      <c r="H3" s="145"/>
      <c r="I3" s="81" t="s">
        <v>79</v>
      </c>
      <c r="J3" s="81"/>
      <c r="K3" s="136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BC3" s="70"/>
      <c r="BD3" s="1"/>
    </row>
    <row r="4" spans="1:56" ht="13.5" thickTop="1">
      <c r="A4" s="146" t="s">
        <v>112</v>
      </c>
      <c r="B4" s="149"/>
      <c r="C4" s="150"/>
      <c r="D4" s="150"/>
      <c r="E4" s="150"/>
      <c r="F4" s="150"/>
      <c r="G4" s="150"/>
      <c r="H4" s="151"/>
      <c r="I4" s="141"/>
      <c r="J4" s="142"/>
      <c r="K4" s="142"/>
      <c r="L4" s="142"/>
      <c r="M4" s="142"/>
      <c r="N4" s="142"/>
      <c r="O4" s="142"/>
      <c r="P4" s="142"/>
      <c r="Q4" s="152"/>
      <c r="R4" s="141"/>
      <c r="S4" s="142"/>
      <c r="T4" s="142"/>
      <c r="U4" s="142"/>
      <c r="V4" s="142"/>
      <c r="W4" s="142"/>
      <c r="X4" s="15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3"/>
      <c r="AM4" s="141"/>
      <c r="AN4" s="142"/>
      <c r="AO4" s="142"/>
      <c r="AP4" s="142"/>
      <c r="AQ4" s="142"/>
      <c r="AR4" s="143"/>
      <c r="AS4" s="141"/>
      <c r="AT4" s="142"/>
      <c r="AU4" s="142"/>
      <c r="AV4" s="142"/>
      <c r="AW4" s="142"/>
      <c r="AX4" s="143"/>
      <c r="AY4" s="133"/>
      <c r="AZ4" s="131"/>
      <c r="BA4" s="134"/>
      <c r="BB4" s="39"/>
      <c r="BC4" s="70"/>
      <c r="BD4" s="1"/>
    </row>
    <row r="5" spans="1:56" ht="13.5" thickBot="1">
      <c r="A5" s="147"/>
      <c r="B5" s="137"/>
      <c r="C5" s="138"/>
      <c r="D5" s="138"/>
      <c r="E5" s="3" t="s">
        <v>6</v>
      </c>
      <c r="F5" s="11"/>
      <c r="G5" s="12"/>
      <c r="H5" s="15"/>
      <c r="I5" s="139"/>
      <c r="J5" s="138"/>
      <c r="K5" s="138"/>
      <c r="L5" s="2"/>
      <c r="M5" s="2"/>
      <c r="N5" s="3" t="s">
        <v>7</v>
      </c>
      <c r="O5" s="11"/>
      <c r="P5" s="12"/>
      <c r="Q5" s="15"/>
      <c r="R5" s="139"/>
      <c r="S5" s="138"/>
      <c r="T5" s="138"/>
      <c r="U5" s="3" t="s">
        <v>8</v>
      </c>
      <c r="V5" s="11"/>
      <c r="W5" s="12"/>
      <c r="X5" s="15"/>
      <c r="Y5" s="140"/>
      <c r="Z5" s="138"/>
      <c r="AA5" s="138"/>
      <c r="AB5" s="2"/>
      <c r="AC5" s="2"/>
      <c r="AD5" s="2"/>
      <c r="AE5" s="2"/>
      <c r="AF5" s="2"/>
      <c r="AG5" s="2"/>
      <c r="AH5" s="2"/>
      <c r="AI5" s="3" t="s">
        <v>9</v>
      </c>
      <c r="AJ5" s="11"/>
      <c r="AK5" s="12"/>
      <c r="AL5" s="40"/>
      <c r="AM5" s="139"/>
      <c r="AN5" s="138"/>
      <c r="AO5" s="3" t="s">
        <v>75</v>
      </c>
      <c r="AP5" s="11"/>
      <c r="AQ5" s="12"/>
      <c r="AR5" s="40"/>
      <c r="AS5" s="139"/>
      <c r="AT5" s="138"/>
      <c r="AU5" s="3" t="s">
        <v>68</v>
      </c>
      <c r="AV5" s="11"/>
      <c r="AW5" s="12"/>
      <c r="AX5" s="40"/>
      <c r="AY5" s="128" t="s">
        <v>77</v>
      </c>
      <c r="AZ5" s="129"/>
      <c r="BA5" s="130"/>
      <c r="BB5" s="41"/>
      <c r="BC5" s="70"/>
      <c r="BD5" s="1"/>
    </row>
    <row r="6" spans="1:56" ht="159.75" customHeight="1" thickBot="1">
      <c r="A6" s="147"/>
      <c r="B6" s="4" t="s">
        <v>10</v>
      </c>
      <c r="C6" s="4" t="s">
        <v>11</v>
      </c>
      <c r="D6" s="4" t="s">
        <v>12</v>
      </c>
      <c r="E6" s="4" t="s">
        <v>13</v>
      </c>
      <c r="F6" s="5" t="s">
        <v>4</v>
      </c>
      <c r="G6" s="5" t="s">
        <v>14</v>
      </c>
      <c r="H6" s="16" t="s">
        <v>76</v>
      </c>
      <c r="I6" s="4" t="s">
        <v>15</v>
      </c>
      <c r="J6" s="4" t="s">
        <v>16</v>
      </c>
      <c r="K6" s="4" t="s">
        <v>48</v>
      </c>
      <c r="L6" s="4" t="s">
        <v>18</v>
      </c>
      <c r="M6" s="4" t="s">
        <v>53</v>
      </c>
      <c r="N6" s="4" t="s">
        <v>19</v>
      </c>
      <c r="O6" s="5" t="s">
        <v>4</v>
      </c>
      <c r="P6" s="5" t="s">
        <v>14</v>
      </c>
      <c r="Q6" s="16" t="s">
        <v>76</v>
      </c>
      <c r="R6" s="4" t="s">
        <v>20</v>
      </c>
      <c r="S6" s="4" t="s">
        <v>21</v>
      </c>
      <c r="T6" s="4" t="s">
        <v>22</v>
      </c>
      <c r="U6" s="4" t="s">
        <v>23</v>
      </c>
      <c r="V6" s="5" t="s">
        <v>4</v>
      </c>
      <c r="W6" s="5" t="s">
        <v>14</v>
      </c>
      <c r="X6" s="16" t="s">
        <v>76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17</v>
      </c>
      <c r="AE6" s="4" t="s">
        <v>114</v>
      </c>
      <c r="AF6" s="68" t="s">
        <v>46</v>
      </c>
      <c r="AG6" s="68" t="s">
        <v>47</v>
      </c>
      <c r="AH6" s="68" t="s">
        <v>50</v>
      </c>
      <c r="AI6" s="4" t="s">
        <v>51</v>
      </c>
      <c r="AJ6" s="5" t="s">
        <v>4</v>
      </c>
      <c r="AK6" s="5" t="s">
        <v>14</v>
      </c>
      <c r="AL6" s="5" t="s">
        <v>76</v>
      </c>
      <c r="AM6" s="22" t="s">
        <v>29</v>
      </c>
      <c r="AN6" s="4" t="s">
        <v>30</v>
      </c>
      <c r="AO6" s="4" t="s">
        <v>31</v>
      </c>
      <c r="AP6" s="5" t="s">
        <v>4</v>
      </c>
      <c r="AQ6" s="5" t="s">
        <v>14</v>
      </c>
      <c r="AR6" s="5" t="s">
        <v>76</v>
      </c>
      <c r="AS6" s="22" t="s">
        <v>69</v>
      </c>
      <c r="AT6" s="4" t="s">
        <v>71</v>
      </c>
      <c r="AU6" s="4" t="s">
        <v>70</v>
      </c>
      <c r="AV6" s="5" t="s">
        <v>4</v>
      </c>
      <c r="AW6" s="5" t="s">
        <v>14</v>
      </c>
      <c r="AX6" s="5" t="s">
        <v>76</v>
      </c>
      <c r="AY6" s="22" t="s">
        <v>78</v>
      </c>
      <c r="AZ6" s="5" t="s">
        <v>4</v>
      </c>
      <c r="BA6" s="16" t="s">
        <v>76</v>
      </c>
      <c r="BB6" s="38" t="s">
        <v>32</v>
      </c>
      <c r="BC6" s="70"/>
      <c r="BD6" s="1" t="s">
        <v>61</v>
      </c>
    </row>
    <row r="7" spans="1:56" ht="52.5" thickBot="1" thickTop="1">
      <c r="A7" s="148"/>
      <c r="B7" s="6" t="s">
        <v>1</v>
      </c>
      <c r="C7" s="6" t="s">
        <v>2</v>
      </c>
      <c r="D7" s="6" t="s">
        <v>3</v>
      </c>
      <c r="E7" s="6" t="s">
        <v>49</v>
      </c>
      <c r="F7" s="6" t="s">
        <v>33</v>
      </c>
      <c r="G7" s="6" t="s">
        <v>33</v>
      </c>
      <c r="H7" s="17">
        <v>1</v>
      </c>
      <c r="I7" s="6" t="s">
        <v>1</v>
      </c>
      <c r="J7" s="6" t="s">
        <v>2</v>
      </c>
      <c r="K7" s="6" t="s">
        <v>3</v>
      </c>
      <c r="L7" s="6" t="s">
        <v>34</v>
      </c>
      <c r="M7" s="6"/>
      <c r="N7" s="6" t="s">
        <v>35</v>
      </c>
      <c r="O7" s="6" t="s">
        <v>33</v>
      </c>
      <c r="P7" s="6" t="s">
        <v>36</v>
      </c>
      <c r="Q7" s="17">
        <v>1</v>
      </c>
      <c r="R7" s="6" t="s">
        <v>1</v>
      </c>
      <c r="S7" s="6" t="s">
        <v>2</v>
      </c>
      <c r="T7" s="6" t="s">
        <v>3</v>
      </c>
      <c r="U7" s="6" t="s">
        <v>37</v>
      </c>
      <c r="V7" s="6" t="s">
        <v>38</v>
      </c>
      <c r="W7" s="6" t="s">
        <v>38</v>
      </c>
      <c r="X7" s="17">
        <v>1</v>
      </c>
      <c r="Y7" s="6" t="s">
        <v>1</v>
      </c>
      <c r="Z7" s="6" t="s">
        <v>2</v>
      </c>
      <c r="AA7" s="6" t="s">
        <v>3</v>
      </c>
      <c r="AB7" s="6" t="s">
        <v>39</v>
      </c>
      <c r="AC7" s="6" t="s">
        <v>34</v>
      </c>
      <c r="AD7" s="6" t="s">
        <v>40</v>
      </c>
      <c r="AE7" s="6" t="s">
        <v>41</v>
      </c>
      <c r="AF7" s="29"/>
      <c r="AG7" s="29"/>
      <c r="AH7" s="29"/>
      <c r="AI7" s="6" t="s">
        <v>42</v>
      </c>
      <c r="AJ7" s="6" t="s">
        <v>43</v>
      </c>
      <c r="AK7" s="6" t="s">
        <v>5</v>
      </c>
      <c r="AL7" s="6">
        <v>1.5</v>
      </c>
      <c r="AM7" s="6" t="s">
        <v>1</v>
      </c>
      <c r="AN7" s="6" t="s">
        <v>2</v>
      </c>
      <c r="AO7" s="6" t="s">
        <v>44</v>
      </c>
      <c r="AP7" s="6" t="s">
        <v>33</v>
      </c>
      <c r="AQ7" s="6" t="s">
        <v>33</v>
      </c>
      <c r="AR7" s="6">
        <v>1</v>
      </c>
      <c r="AS7" s="6" t="s">
        <v>1</v>
      </c>
      <c r="AT7" s="6" t="s">
        <v>2</v>
      </c>
      <c r="AU7" s="6" t="s">
        <v>44</v>
      </c>
      <c r="AV7" s="6" t="s">
        <v>33</v>
      </c>
      <c r="AW7" s="6" t="s">
        <v>33</v>
      </c>
      <c r="AX7" s="6">
        <v>1</v>
      </c>
      <c r="AY7" s="115" t="s">
        <v>1</v>
      </c>
      <c r="AZ7" s="6">
        <v>1</v>
      </c>
      <c r="BA7" s="116">
        <v>1</v>
      </c>
      <c r="BB7" s="42"/>
      <c r="BC7" s="70"/>
      <c r="BD7" s="1"/>
    </row>
    <row r="8" spans="1:65" ht="14.25" thickBot="1" thickTop="1">
      <c r="A8" s="43"/>
      <c r="B8" s="18" t="s">
        <v>52</v>
      </c>
      <c r="C8" s="18" t="s">
        <v>52</v>
      </c>
      <c r="D8" s="18" t="s">
        <v>52</v>
      </c>
      <c r="E8" s="18"/>
      <c r="F8" s="18"/>
      <c r="G8" s="18"/>
      <c r="H8" s="19"/>
      <c r="I8" s="109"/>
      <c r="J8" s="18"/>
      <c r="K8" s="18"/>
      <c r="L8" s="110"/>
      <c r="M8" s="110"/>
      <c r="N8" s="18"/>
      <c r="O8" s="18"/>
      <c r="P8" s="18"/>
      <c r="Q8" s="19"/>
      <c r="R8" s="109"/>
      <c r="S8" s="18"/>
      <c r="T8" s="18"/>
      <c r="U8" s="18"/>
      <c r="V8" s="18"/>
      <c r="W8" s="18"/>
      <c r="X8" s="19"/>
      <c r="Y8" s="44" t="s">
        <v>52</v>
      </c>
      <c r="Z8" s="18"/>
      <c r="AA8" s="18"/>
      <c r="AB8" s="110"/>
      <c r="AC8" s="44"/>
      <c r="AD8" s="18"/>
      <c r="AE8" s="18"/>
      <c r="AF8" s="18"/>
      <c r="AG8" s="18"/>
      <c r="AH8" s="18"/>
      <c r="AI8" s="18"/>
      <c r="AJ8" s="18"/>
      <c r="AK8" s="18"/>
      <c r="AL8" s="18"/>
      <c r="AM8" s="23"/>
      <c r="AN8" s="18"/>
      <c r="AO8" s="18"/>
      <c r="AP8" s="18"/>
      <c r="AQ8" s="18"/>
      <c r="AR8" s="18"/>
      <c r="AS8" s="23"/>
      <c r="AT8" s="18"/>
      <c r="AU8" s="18"/>
      <c r="AV8" s="18"/>
      <c r="AW8" s="18"/>
      <c r="AX8" s="18"/>
      <c r="AY8" s="117"/>
      <c r="AZ8" s="18"/>
      <c r="BA8" s="19"/>
      <c r="BB8" s="45"/>
      <c r="BC8" s="70"/>
      <c r="BD8" s="1"/>
      <c r="BM8" s="89" t="s">
        <v>62</v>
      </c>
    </row>
    <row r="9" spans="1:70" ht="13.5" thickBot="1" thickTop="1">
      <c r="A9" s="46"/>
      <c r="B9" s="10"/>
      <c r="C9" s="10"/>
      <c r="D9" s="10"/>
      <c r="E9" s="10"/>
      <c r="F9" s="10"/>
      <c r="G9" s="10"/>
      <c r="H9" s="20"/>
      <c r="I9" s="24"/>
      <c r="J9" s="10"/>
      <c r="K9" s="10"/>
      <c r="L9" s="10"/>
      <c r="M9" s="10"/>
      <c r="N9" s="10"/>
      <c r="O9" s="10"/>
      <c r="P9" s="10"/>
      <c r="Q9" s="20"/>
      <c r="R9" s="24"/>
      <c r="S9" s="10"/>
      <c r="T9" s="10"/>
      <c r="U9" s="10"/>
      <c r="V9" s="10"/>
      <c r="W9" s="10"/>
      <c r="X9" s="20"/>
      <c r="Y9" s="13"/>
      <c r="Z9" s="10"/>
      <c r="AA9" s="10"/>
      <c r="AB9" s="10"/>
      <c r="AC9" s="10"/>
      <c r="AD9" s="10"/>
      <c r="AE9" s="10"/>
      <c r="AF9" s="10"/>
      <c r="AG9" s="10"/>
      <c r="AH9" s="10"/>
      <c r="AI9" s="47" t="s">
        <v>45</v>
      </c>
      <c r="AJ9" s="10"/>
      <c r="AK9" s="10"/>
      <c r="AL9" s="10"/>
      <c r="AM9" s="24"/>
      <c r="AN9" s="10"/>
      <c r="AO9" s="10"/>
      <c r="AP9" s="10"/>
      <c r="AQ9" s="10"/>
      <c r="AR9" s="10"/>
      <c r="AS9" s="24"/>
      <c r="AT9" s="10"/>
      <c r="AU9" s="10"/>
      <c r="AV9" s="10"/>
      <c r="AW9" s="10"/>
      <c r="AX9" s="10"/>
      <c r="AY9" s="24"/>
      <c r="AZ9" s="10"/>
      <c r="BA9" s="20"/>
      <c r="BB9" s="48"/>
      <c r="BC9" s="70"/>
      <c r="BD9" s="1"/>
      <c r="BG9" s="69" t="s">
        <v>54</v>
      </c>
      <c r="BH9" s="85" t="s">
        <v>55</v>
      </c>
      <c r="BI9" s="69" t="s">
        <v>56</v>
      </c>
      <c r="BJ9" s="69" t="s">
        <v>57</v>
      </c>
      <c r="BK9" s="69" t="s">
        <v>58</v>
      </c>
      <c r="BM9" s="89" t="s">
        <v>63</v>
      </c>
      <c r="BN9" s="69" t="s">
        <v>64</v>
      </c>
      <c r="BO9" s="85" t="s">
        <v>65</v>
      </c>
      <c r="BP9" s="69" t="s">
        <v>66</v>
      </c>
      <c r="BQ9" s="69" t="s">
        <v>67</v>
      </c>
      <c r="BR9" s="69" t="s">
        <v>58</v>
      </c>
    </row>
    <row r="10" spans="1:70" ht="13.5" thickTop="1">
      <c r="A10" s="49" t="s">
        <v>81</v>
      </c>
      <c r="B10" s="37">
        <v>2329496.216</v>
      </c>
      <c r="C10" s="37">
        <v>237483.54756</v>
      </c>
      <c r="D10" s="37">
        <v>2251096.216</v>
      </c>
      <c r="E10" s="50">
        <f>IF(AND(B10=0,D10=0),0,B10/(IF(C10&gt;0,C10,0)+D10))</f>
        <v>0.9360745635364224</v>
      </c>
      <c r="F10" s="7">
        <f>IF(E10&lt;=1.05,1,0)</f>
        <v>1</v>
      </c>
      <c r="G10" s="8"/>
      <c r="H10" s="30">
        <f aca="true" t="shared" si="0" ref="H10:H40">F10+G10</f>
        <v>1</v>
      </c>
      <c r="I10" s="37">
        <v>2153782.1482800003</v>
      </c>
      <c r="J10" s="72">
        <v>10961444.29326</v>
      </c>
      <c r="K10" s="91">
        <v>1921138.30591</v>
      </c>
      <c r="L10" s="37">
        <v>174903</v>
      </c>
      <c r="M10" s="67">
        <v>0</v>
      </c>
      <c r="N10" s="59">
        <f>(I10-M10)/(J10-K10-L10)</f>
        <v>0.24294238528730408</v>
      </c>
      <c r="O10" s="7">
        <f aca="true" t="shared" si="1" ref="O10:O16">IF(N10&lt;=1,1,0)</f>
        <v>1</v>
      </c>
      <c r="P10" s="8"/>
      <c r="Q10" s="30">
        <f aca="true" t="shared" si="2" ref="Q10:Q40">O10+P10</f>
        <v>1</v>
      </c>
      <c r="R10" s="80">
        <v>158945.7856</v>
      </c>
      <c r="S10" s="37">
        <v>11615340.90982</v>
      </c>
      <c r="T10" s="51">
        <v>3342995.55157</v>
      </c>
      <c r="U10" s="50">
        <f aca="true" t="shared" si="3" ref="U10:U40">R10/(S10-T10)</f>
        <v>0.01921411385967869</v>
      </c>
      <c r="V10" s="7">
        <f aca="true" t="shared" si="4" ref="V10:V16">IF(U10&lt;=0.15,1,0)</f>
        <v>1</v>
      </c>
      <c r="W10" s="8"/>
      <c r="X10" s="30">
        <f>V10+W10</f>
        <v>1</v>
      </c>
      <c r="Y10" s="37">
        <f>C10</f>
        <v>237483.54756</v>
      </c>
      <c r="Z10" s="88"/>
      <c r="AA10" s="35">
        <v>159083.54756</v>
      </c>
      <c r="AB10" s="52"/>
      <c r="AC10" s="52">
        <f aca="true" t="shared" si="5" ref="AC10:AC40">J10</f>
        <v>10961444.29326</v>
      </c>
      <c r="AD10" s="52">
        <f aca="true" t="shared" si="6" ref="AD10:AD40">K10</f>
        <v>1921138.30591</v>
      </c>
      <c r="AE10" s="35">
        <f aca="true" t="shared" si="7" ref="AE10:AE40">L10</f>
        <v>174903</v>
      </c>
      <c r="AF10" s="52">
        <f>AC10-AD10-AE10</f>
        <v>8865402.98735</v>
      </c>
      <c r="AG10" s="52">
        <f aca="true" t="shared" si="8" ref="AG10:AG17">AF10*10%</f>
        <v>886540.2987350001</v>
      </c>
      <c r="AH10" s="52">
        <f aca="true" t="shared" si="9" ref="AH10:AH15">IF(AA10&gt;0,AA10,0)+AG10+IF(AB10&gt;0,AB10,0)</f>
        <v>1045623.846295</v>
      </c>
      <c r="AI10" s="74">
        <f aca="true" t="shared" si="10" ref="AI10:AI40">IF((Y10-IF(Z10&gt;0,Z10,0)-IF(AA10&gt;0,AA10,0)-IF(AB10&gt;0,AB10,0))/(AC10-AD10-AE10)&gt;0,(Y10-IF(Z10&gt;0,Z10,0)-IF(AA10&gt;0,AA10,0)-IF(AB10&gt;0,AB10,0))/(AC10-AD10-AE10),0)</f>
        <v>0.008843365621604407</v>
      </c>
      <c r="AJ10" s="33">
        <f>IF(AI10&lt;=0.1,1.5,0)</f>
        <v>1.5</v>
      </c>
      <c r="AK10" s="53"/>
      <c r="AL10" s="54">
        <f aca="true" t="shared" si="11" ref="AL10:AL40">AJ10+AK10</f>
        <v>1.5</v>
      </c>
      <c r="AM10" s="55">
        <v>291688</v>
      </c>
      <c r="AN10" s="53">
        <v>308985.4</v>
      </c>
      <c r="AO10" s="111">
        <f aca="true" t="shared" si="12" ref="AO10:AO40">AM10/AN10</f>
        <v>0.9440187141528369</v>
      </c>
      <c r="AP10" s="32">
        <f>IF(AO10&lt;=1,1,0)</f>
        <v>1</v>
      </c>
      <c r="AQ10" s="8"/>
      <c r="AR10" s="56">
        <f>AP10+AQ10</f>
        <v>1</v>
      </c>
      <c r="AS10" s="55">
        <v>553632.1</v>
      </c>
      <c r="AT10" s="53">
        <v>558346.8</v>
      </c>
      <c r="AU10" s="74">
        <f>AS10/AT10</f>
        <v>0.9915559648591161</v>
      </c>
      <c r="AV10" s="32">
        <f>IF(AU10&lt;=1,1,0)</f>
        <v>1</v>
      </c>
      <c r="AW10" s="8"/>
      <c r="AX10" s="56">
        <f aca="true" t="shared" si="13" ref="AX10:AX40">AV10+AW10</f>
        <v>1</v>
      </c>
      <c r="AY10" s="118"/>
      <c r="AZ10" s="119"/>
      <c r="BA10" s="120">
        <f>AZ10</f>
        <v>0</v>
      </c>
      <c r="BB10" s="57">
        <f>H10+Q10+X10+AL10+AR10+AX10+BA10</f>
        <v>6.5</v>
      </c>
      <c r="BC10" s="70"/>
      <c r="BD10" s="90">
        <v>934451.47</v>
      </c>
      <c r="BF10" s="82">
        <f aca="true" t="shared" si="14" ref="BF10:BF40">(AD10+AE10-T10)/(AC10-T10)</f>
        <v>-0.16367561008008938</v>
      </c>
      <c r="BG10" s="69">
        <f>IF(($BF10&lt;=10%),1,0)</f>
        <v>1</v>
      </c>
      <c r="BH10" s="84">
        <f>IF(AND(BF10&gt;10%,BF10&lt;30%),1,0)</f>
        <v>0</v>
      </c>
      <c r="BI10" s="84">
        <f>IF(AND(BF10&gt;30%,BF10&lt;70%),1,0)</f>
        <v>0</v>
      </c>
      <c r="BJ10" s="84">
        <f>IF(AND(BF10&gt;70%,BF10&lt;90%),1,0)</f>
        <v>0</v>
      </c>
      <c r="BK10" s="69">
        <f>IF(($BF10&gt;=90%),1,0)</f>
        <v>0</v>
      </c>
      <c r="BM10" s="82">
        <f aca="true" t="shared" si="15" ref="BM10:BM40">(BD10+L10)/(J10-T10)</f>
        <v>0.14561421985152215</v>
      </c>
      <c r="BN10" s="69">
        <f>IF(($BM10&lt;=4.9%),1,0)</f>
        <v>0</v>
      </c>
      <c r="BO10" s="84">
        <f>IF(AND(BM10&gt;5%,BM10&lt;19.9%),1,0)</f>
        <v>1</v>
      </c>
      <c r="BP10" s="84">
        <f>IF(AND(BM10&gt;20%,BM10&lt;49.9%),1,0)</f>
        <v>0</v>
      </c>
      <c r="BQ10" s="84">
        <f>IF(AND(BM10&gt;50%,BM10&lt;89.9%),1,0)</f>
        <v>0</v>
      </c>
      <c r="BR10" s="69">
        <f>IF((BM10&gt;=90%),1,0)</f>
        <v>0</v>
      </c>
    </row>
    <row r="11" spans="1:70" ht="12.75">
      <c r="A11" s="60" t="s">
        <v>82</v>
      </c>
      <c r="B11" s="37">
        <v>0</v>
      </c>
      <c r="C11" s="37">
        <v>54390.55673</v>
      </c>
      <c r="D11" s="37">
        <v>0</v>
      </c>
      <c r="E11" s="50">
        <f aca="true" t="shared" si="16" ref="E11:E40">IF(AND(B11=0,D11=0),0,B11/(IF(C11&gt;0,C11,0)+D11))</f>
        <v>0</v>
      </c>
      <c r="F11" s="36">
        <f aca="true" t="shared" si="17" ref="F11:F17">IF(E11&lt;=1.05,1,0)</f>
        <v>1</v>
      </c>
      <c r="G11" s="8"/>
      <c r="H11" s="30">
        <f t="shared" si="0"/>
        <v>1</v>
      </c>
      <c r="I11" s="37">
        <v>50000</v>
      </c>
      <c r="J11" s="72">
        <v>1431087.5329500001</v>
      </c>
      <c r="K11" s="91">
        <v>400681.48466</v>
      </c>
      <c r="L11" s="37">
        <v>214160</v>
      </c>
      <c r="M11" s="67">
        <v>0</v>
      </c>
      <c r="N11" s="50">
        <f aca="true" t="shared" si="18" ref="N11:N40">(I11-M11)/(J11-K11-L11)</f>
        <v>0.06125603928465911</v>
      </c>
      <c r="O11" s="7">
        <f t="shared" si="1"/>
        <v>1</v>
      </c>
      <c r="P11" s="8"/>
      <c r="Q11" s="30">
        <f t="shared" si="2"/>
        <v>1</v>
      </c>
      <c r="R11" s="34">
        <v>3183.75</v>
      </c>
      <c r="S11" s="37">
        <v>1485576.20368</v>
      </c>
      <c r="T11" s="51">
        <v>489484.55328999995</v>
      </c>
      <c r="U11" s="50">
        <f t="shared" si="3"/>
        <v>0.003196242031296483</v>
      </c>
      <c r="V11" s="7">
        <f t="shared" si="4"/>
        <v>1</v>
      </c>
      <c r="W11" s="8"/>
      <c r="X11" s="30">
        <f aca="true" t="shared" si="19" ref="X11:X40">V11+W11</f>
        <v>1</v>
      </c>
      <c r="Y11" s="37">
        <f aca="true" t="shared" si="20" ref="Y11:Y40">C11</f>
        <v>54390.55673</v>
      </c>
      <c r="Z11" s="35"/>
      <c r="AA11" s="35">
        <v>54390.55673</v>
      </c>
      <c r="AB11" s="52"/>
      <c r="AC11" s="52">
        <f t="shared" si="5"/>
        <v>1431087.5329500001</v>
      </c>
      <c r="AD11" s="52">
        <f t="shared" si="6"/>
        <v>400681.48466</v>
      </c>
      <c r="AE11" s="35">
        <f t="shared" si="7"/>
        <v>214160</v>
      </c>
      <c r="AF11" s="52">
        <f aca="true" t="shared" si="21" ref="AF11:AF40">AC11-AD11-AE11</f>
        <v>816246.0482900001</v>
      </c>
      <c r="AG11" s="52">
        <f t="shared" si="8"/>
        <v>81624.60482900002</v>
      </c>
      <c r="AH11" s="52">
        <f t="shared" si="9"/>
        <v>136015.16155900003</v>
      </c>
      <c r="AI11" s="74">
        <f t="shared" si="10"/>
        <v>0</v>
      </c>
      <c r="AJ11" s="33">
        <f aca="true" t="shared" si="22" ref="AJ11:AJ17">IF(AI11&lt;=0.1,1.5,0)</f>
        <v>1.5</v>
      </c>
      <c r="AK11" s="8"/>
      <c r="AL11" s="30">
        <f t="shared" si="11"/>
        <v>1.5</v>
      </c>
      <c r="AM11" s="55">
        <v>38827</v>
      </c>
      <c r="AN11" s="53">
        <v>39848.6</v>
      </c>
      <c r="AO11" s="111">
        <f t="shared" si="12"/>
        <v>0.9743629638180513</v>
      </c>
      <c r="AP11" s="32">
        <f aca="true" t="shared" si="23" ref="AP11:AP17">IF(AO11&lt;=1,1,0)</f>
        <v>1</v>
      </c>
      <c r="AQ11" s="8"/>
      <c r="AR11" s="56">
        <f aca="true" t="shared" si="24" ref="AR11:AR37">AP11+AQ11</f>
        <v>1</v>
      </c>
      <c r="AS11" s="55">
        <v>76348.6</v>
      </c>
      <c r="AT11" s="53">
        <v>89625.5</v>
      </c>
      <c r="AU11" s="74">
        <f aca="true" t="shared" si="25" ref="AU11:AU40">AS11/AT11</f>
        <v>0.8518624721758875</v>
      </c>
      <c r="AV11" s="32">
        <f aca="true" t="shared" si="26" ref="AV11:AV17">IF(AU11&lt;=1,1,0)</f>
        <v>1</v>
      </c>
      <c r="AW11" s="8"/>
      <c r="AX11" s="56">
        <f t="shared" si="13"/>
        <v>1</v>
      </c>
      <c r="AY11" s="118"/>
      <c r="AZ11" s="119"/>
      <c r="BA11" s="120">
        <f aca="true" t="shared" si="27" ref="BA11:BA40">AZ11</f>
        <v>0</v>
      </c>
      <c r="BB11" s="79">
        <f>H11+Q11+X11+AL11+AR11+AX11+BA11</f>
        <v>6.5</v>
      </c>
      <c r="BC11" s="70"/>
      <c r="BD11" s="90">
        <v>42722.347</v>
      </c>
      <c r="BF11" s="82">
        <f t="shared" si="14"/>
        <v>0.13313140896735987</v>
      </c>
      <c r="BG11" s="69">
        <f aca="true" t="shared" si="28" ref="BG11:BG40">IF(($BF11&lt;=10%),1,0)</f>
        <v>0</v>
      </c>
      <c r="BH11" s="84">
        <f aca="true" t="shared" si="29" ref="BH11:BH40">IF(AND(BF11&gt;10%,BF11&lt;30%),1,0)</f>
        <v>1</v>
      </c>
      <c r="BI11" s="84">
        <f aca="true" t="shared" si="30" ref="BI11:BI40">IF(AND(BF11&gt;30%,BF11&lt;70%),1,0)</f>
        <v>0</v>
      </c>
      <c r="BJ11" s="84">
        <f aca="true" t="shared" si="31" ref="BJ11:BJ40">IF(AND(BF11&gt;70%,BF11&lt;90%),1,0)</f>
        <v>0</v>
      </c>
      <c r="BK11" s="69">
        <f aca="true" t="shared" si="32" ref="BK11:BK40">IF(($BF11&gt;=90%),1,0)</f>
        <v>0</v>
      </c>
      <c r="BM11" s="82">
        <f t="shared" si="15"/>
        <v>0.2728138637504702</v>
      </c>
      <c r="BN11" s="69">
        <f aca="true" t="shared" si="33" ref="BN11:BN40">IF(($BM11&lt;=4.9%),1,0)</f>
        <v>0</v>
      </c>
      <c r="BO11" s="84">
        <f aca="true" t="shared" si="34" ref="BO11:BO40">IF(AND(BM11&gt;5%,BM11&lt;19.9%),1,0)</f>
        <v>0</v>
      </c>
      <c r="BP11" s="84">
        <f aca="true" t="shared" si="35" ref="BP11:BP40">IF(AND(BM11&gt;20%,BM11&lt;49.9%),1,0)</f>
        <v>1</v>
      </c>
      <c r="BQ11" s="84">
        <f aca="true" t="shared" si="36" ref="BQ11:BQ40">IF(AND(BM11&gt;50%,BM11&lt;89.9%),1,0)</f>
        <v>0</v>
      </c>
      <c r="BR11" s="69">
        <f aca="true" t="shared" si="37" ref="BR11:BR40">IF((BM11&gt;=90%),1,0)</f>
        <v>0</v>
      </c>
    </row>
    <row r="12" spans="1:70" ht="12.75">
      <c r="A12" s="60" t="s">
        <v>83</v>
      </c>
      <c r="B12" s="37">
        <v>41000</v>
      </c>
      <c r="C12" s="37">
        <v>10742.62998</v>
      </c>
      <c r="D12" s="37">
        <v>41000</v>
      </c>
      <c r="E12" s="50">
        <f t="shared" si="16"/>
        <v>0.7923833793498256</v>
      </c>
      <c r="F12" s="7">
        <f t="shared" si="17"/>
        <v>1</v>
      </c>
      <c r="G12" s="8"/>
      <c r="H12" s="30">
        <f t="shared" si="0"/>
        <v>1</v>
      </c>
      <c r="I12" s="37">
        <v>41000</v>
      </c>
      <c r="J12" s="72">
        <v>1049104.7588</v>
      </c>
      <c r="K12" s="91">
        <v>206761.92523</v>
      </c>
      <c r="L12" s="37">
        <v>91519</v>
      </c>
      <c r="M12" s="67">
        <v>0</v>
      </c>
      <c r="N12" s="50">
        <f t="shared" si="18"/>
        <v>0.05460668424050171</v>
      </c>
      <c r="O12" s="7">
        <f t="shared" si="1"/>
        <v>1</v>
      </c>
      <c r="P12" s="8"/>
      <c r="Q12" s="30">
        <f t="shared" si="2"/>
        <v>1</v>
      </c>
      <c r="R12" s="34">
        <v>3000</v>
      </c>
      <c r="S12" s="37">
        <v>1059847.38878</v>
      </c>
      <c r="T12" s="51">
        <v>394070.19357</v>
      </c>
      <c r="U12" s="50">
        <f t="shared" si="3"/>
        <v>0.0045060119535240886</v>
      </c>
      <c r="V12" s="7">
        <f t="shared" si="4"/>
        <v>1</v>
      </c>
      <c r="W12" s="8"/>
      <c r="X12" s="30">
        <f t="shared" si="19"/>
        <v>1</v>
      </c>
      <c r="Y12" s="37">
        <f t="shared" si="20"/>
        <v>10742.62998</v>
      </c>
      <c r="Z12" s="35"/>
      <c r="AA12" s="35">
        <v>10742.62998</v>
      </c>
      <c r="AB12" s="52"/>
      <c r="AC12" s="52">
        <f t="shared" si="5"/>
        <v>1049104.7588</v>
      </c>
      <c r="AD12" s="52">
        <f t="shared" si="6"/>
        <v>206761.92523</v>
      </c>
      <c r="AE12" s="35">
        <f t="shared" si="7"/>
        <v>91519</v>
      </c>
      <c r="AF12" s="52">
        <f t="shared" si="21"/>
        <v>750823.83357</v>
      </c>
      <c r="AG12" s="52">
        <f t="shared" si="8"/>
        <v>75082.383357</v>
      </c>
      <c r="AH12" s="52">
        <f t="shared" si="9"/>
        <v>85825.013337</v>
      </c>
      <c r="AI12" s="74">
        <f t="shared" si="10"/>
        <v>0</v>
      </c>
      <c r="AJ12" s="33">
        <f t="shared" si="22"/>
        <v>1.5</v>
      </c>
      <c r="AK12" s="8"/>
      <c r="AL12" s="30">
        <f t="shared" si="11"/>
        <v>1.5</v>
      </c>
      <c r="AM12" s="55">
        <v>28818.6</v>
      </c>
      <c r="AN12" s="53">
        <v>29838.8</v>
      </c>
      <c r="AO12" s="113">
        <f t="shared" si="12"/>
        <v>0.9658096170087269</v>
      </c>
      <c r="AP12" s="32">
        <f t="shared" si="23"/>
        <v>1</v>
      </c>
      <c r="AQ12" s="8"/>
      <c r="AR12" s="56">
        <f t="shared" si="24"/>
        <v>1</v>
      </c>
      <c r="AS12" s="55">
        <v>62918.9</v>
      </c>
      <c r="AT12" s="53">
        <v>68219.8</v>
      </c>
      <c r="AU12" s="75">
        <f t="shared" si="25"/>
        <v>0.9222967525557096</v>
      </c>
      <c r="AV12" s="32">
        <f t="shared" si="26"/>
        <v>1</v>
      </c>
      <c r="AW12" s="8"/>
      <c r="AX12" s="56">
        <f t="shared" si="13"/>
        <v>1</v>
      </c>
      <c r="AY12" s="118"/>
      <c r="AZ12" s="119"/>
      <c r="BA12" s="120">
        <f t="shared" si="27"/>
        <v>0</v>
      </c>
      <c r="BB12" s="79">
        <f aca="true" t="shared" si="38" ref="BB12:BB40">H12+Q12+X12+AL12+AR12+AX12+BA12</f>
        <v>6.5</v>
      </c>
      <c r="BC12" s="70"/>
      <c r="BD12" s="90">
        <v>11194.516</v>
      </c>
      <c r="BF12" s="82">
        <f t="shared" si="14"/>
        <v>-0.14623544073031605</v>
      </c>
      <c r="BG12" s="69">
        <f t="shared" si="28"/>
        <v>1</v>
      </c>
      <c r="BH12" s="84">
        <f t="shared" si="29"/>
        <v>0</v>
      </c>
      <c r="BI12" s="84">
        <f t="shared" si="30"/>
        <v>0</v>
      </c>
      <c r="BJ12" s="84">
        <f t="shared" si="31"/>
        <v>0</v>
      </c>
      <c r="BK12" s="69">
        <f t="shared" si="32"/>
        <v>0</v>
      </c>
      <c r="BM12" s="82">
        <f t="shared" si="15"/>
        <v>0.1568062533676136</v>
      </c>
      <c r="BN12" s="69">
        <f t="shared" si="33"/>
        <v>0</v>
      </c>
      <c r="BO12" s="84">
        <f t="shared" si="34"/>
        <v>1</v>
      </c>
      <c r="BP12" s="84">
        <f t="shared" si="35"/>
        <v>0</v>
      </c>
      <c r="BQ12" s="84">
        <f t="shared" si="36"/>
        <v>0</v>
      </c>
      <c r="BR12" s="69">
        <f t="shared" si="37"/>
        <v>0</v>
      </c>
    </row>
    <row r="13" spans="1:70" s="81" customFormat="1" ht="12.75">
      <c r="A13" s="58" t="s">
        <v>84</v>
      </c>
      <c r="B13" s="37">
        <v>7000</v>
      </c>
      <c r="C13" s="37">
        <v>7396.276360000001</v>
      </c>
      <c r="D13" s="37">
        <v>7000</v>
      </c>
      <c r="E13" s="59">
        <f t="shared" si="16"/>
        <v>0.48623684520599186</v>
      </c>
      <c r="F13" s="7">
        <f t="shared" si="17"/>
        <v>1</v>
      </c>
      <c r="G13" s="53"/>
      <c r="H13" s="54">
        <f t="shared" si="0"/>
        <v>1</v>
      </c>
      <c r="I13" s="37">
        <v>7000</v>
      </c>
      <c r="J13" s="72">
        <v>324962.33793</v>
      </c>
      <c r="K13" s="91">
        <v>35384.90284</v>
      </c>
      <c r="L13" s="37">
        <v>45003</v>
      </c>
      <c r="M13" s="37">
        <v>0</v>
      </c>
      <c r="N13" s="59">
        <f t="shared" si="18"/>
        <v>0.028621143487151866</v>
      </c>
      <c r="O13" s="7">
        <f t="shared" si="1"/>
        <v>1</v>
      </c>
      <c r="P13" s="53"/>
      <c r="Q13" s="54">
        <f t="shared" si="2"/>
        <v>1</v>
      </c>
      <c r="R13" s="34">
        <v>536.0082199999999</v>
      </c>
      <c r="S13" s="37">
        <v>373122.83809</v>
      </c>
      <c r="T13" s="51">
        <v>132453.42489</v>
      </c>
      <c r="U13" s="59">
        <f t="shared" si="3"/>
        <v>0.0022271555528103975</v>
      </c>
      <c r="V13" s="7">
        <f t="shared" si="4"/>
        <v>1</v>
      </c>
      <c r="W13" s="53"/>
      <c r="X13" s="54">
        <f t="shared" si="19"/>
        <v>1</v>
      </c>
      <c r="Y13" s="37">
        <f t="shared" si="20"/>
        <v>7396.276360000001</v>
      </c>
      <c r="Z13" s="35"/>
      <c r="AA13" s="35">
        <v>7396.276360000001</v>
      </c>
      <c r="AB13" s="35"/>
      <c r="AC13" s="35">
        <f t="shared" si="5"/>
        <v>324962.33793</v>
      </c>
      <c r="AD13" s="35">
        <f t="shared" si="6"/>
        <v>35384.90284</v>
      </c>
      <c r="AE13" s="35">
        <f t="shared" si="7"/>
        <v>45003</v>
      </c>
      <c r="AF13" s="35">
        <f t="shared" si="21"/>
        <v>244574.43508999998</v>
      </c>
      <c r="AG13" s="52">
        <f>AF13*5%</f>
        <v>12228.7217545</v>
      </c>
      <c r="AH13" s="35">
        <f t="shared" si="9"/>
        <v>19624.998114500002</v>
      </c>
      <c r="AI13" s="75">
        <f t="shared" si="10"/>
        <v>0</v>
      </c>
      <c r="AJ13" s="33">
        <f t="shared" si="22"/>
        <v>1.5</v>
      </c>
      <c r="AK13" s="77"/>
      <c r="AL13" s="54">
        <f t="shared" si="11"/>
        <v>1.5</v>
      </c>
      <c r="AM13" s="55">
        <v>11363.3</v>
      </c>
      <c r="AN13" s="53">
        <v>11790.6</v>
      </c>
      <c r="AO13" s="113">
        <f t="shared" si="12"/>
        <v>0.9637592658558511</v>
      </c>
      <c r="AP13" s="32">
        <f t="shared" si="23"/>
        <v>1</v>
      </c>
      <c r="AQ13" s="77"/>
      <c r="AR13" s="78">
        <f t="shared" si="24"/>
        <v>1</v>
      </c>
      <c r="AS13" s="55">
        <v>28443.7</v>
      </c>
      <c r="AT13" s="53">
        <v>28550.7</v>
      </c>
      <c r="AU13" s="75">
        <f t="shared" si="25"/>
        <v>0.9962522810298872</v>
      </c>
      <c r="AV13" s="32">
        <f t="shared" si="26"/>
        <v>1</v>
      </c>
      <c r="AW13" s="77"/>
      <c r="AX13" s="78">
        <f t="shared" si="13"/>
        <v>1</v>
      </c>
      <c r="AY13" s="118"/>
      <c r="AZ13" s="119"/>
      <c r="BA13" s="120">
        <f t="shared" si="27"/>
        <v>0</v>
      </c>
      <c r="BB13" s="79">
        <f t="shared" si="38"/>
        <v>6.5</v>
      </c>
      <c r="BC13" s="70"/>
      <c r="BD13" s="90">
        <v>28656.571</v>
      </c>
      <c r="BE13" s="69"/>
      <c r="BF13" s="82">
        <f t="shared" si="14"/>
        <v>-0.27045772181562155</v>
      </c>
      <c r="BG13" s="69">
        <f t="shared" si="28"/>
        <v>1</v>
      </c>
      <c r="BH13" s="84">
        <f t="shared" si="29"/>
        <v>0</v>
      </c>
      <c r="BI13" s="84">
        <f t="shared" si="30"/>
        <v>0</v>
      </c>
      <c r="BJ13" s="84">
        <f t="shared" si="31"/>
        <v>0</v>
      </c>
      <c r="BK13" s="69">
        <f t="shared" si="32"/>
        <v>0</v>
      </c>
      <c r="BM13" s="82">
        <f t="shared" si="15"/>
        <v>0.3826294057600067</v>
      </c>
      <c r="BN13" s="69">
        <f t="shared" si="33"/>
        <v>0</v>
      </c>
      <c r="BO13" s="84">
        <f t="shared" si="34"/>
        <v>0</v>
      </c>
      <c r="BP13" s="84">
        <f t="shared" si="35"/>
        <v>1</v>
      </c>
      <c r="BQ13" s="84">
        <f t="shared" si="36"/>
        <v>0</v>
      </c>
      <c r="BR13" s="69">
        <f t="shared" si="37"/>
        <v>0</v>
      </c>
    </row>
    <row r="14" spans="1:70" ht="12.75">
      <c r="A14" s="60" t="s">
        <v>85</v>
      </c>
      <c r="B14" s="61">
        <v>19500</v>
      </c>
      <c r="C14" s="61">
        <v>0</v>
      </c>
      <c r="D14" s="61">
        <v>19500</v>
      </c>
      <c r="E14" s="59">
        <f>IF(AND(B14=0,D14=0),0,B14/(IF(C14&gt;0,C14,0)+D14))</f>
        <v>1</v>
      </c>
      <c r="F14" s="7">
        <f>IF(E14&lt;=1.05,1,0)</f>
        <v>1</v>
      </c>
      <c r="G14" s="8"/>
      <c r="H14" s="30">
        <f>F14+G14</f>
        <v>1</v>
      </c>
      <c r="I14" s="37">
        <v>19500</v>
      </c>
      <c r="J14" s="73">
        <v>275431.696</v>
      </c>
      <c r="K14" s="91">
        <v>37256.21541</v>
      </c>
      <c r="L14" s="37">
        <v>37811</v>
      </c>
      <c r="M14" s="61">
        <v>0</v>
      </c>
      <c r="N14" s="59">
        <f>(I14-M14)/(J14-K14-L14)</f>
        <v>0.0973226389357018</v>
      </c>
      <c r="O14" s="7">
        <f>IF(N14&lt;=1,1,0)</f>
        <v>1</v>
      </c>
      <c r="P14" s="8"/>
      <c r="Q14" s="30">
        <f>O14+P14</f>
        <v>1</v>
      </c>
      <c r="R14" s="62">
        <v>1567.504</v>
      </c>
      <c r="S14" s="61">
        <v>275431.88927999994</v>
      </c>
      <c r="T14" s="51">
        <v>100045.43387</v>
      </c>
      <c r="U14" s="50">
        <f>R14/(S14-T14)</f>
        <v>0.00893742904111754</v>
      </c>
      <c r="V14" s="7">
        <f>IF(U14&lt;=0.15,1,0)</f>
        <v>1</v>
      </c>
      <c r="W14" s="8"/>
      <c r="X14" s="30">
        <f>V14+W14</f>
        <v>1</v>
      </c>
      <c r="Y14" s="61">
        <f>C14</f>
        <v>0</v>
      </c>
      <c r="Z14" s="52"/>
      <c r="AA14" s="52">
        <v>0</v>
      </c>
      <c r="AB14" s="52"/>
      <c r="AC14" s="52">
        <f>J14</f>
        <v>275431.696</v>
      </c>
      <c r="AD14" s="52">
        <f>K14</f>
        <v>37256.21541</v>
      </c>
      <c r="AE14" s="35">
        <f>L14</f>
        <v>37811</v>
      </c>
      <c r="AF14" s="52">
        <f>AC14-AD14-AE14</f>
        <v>200364.48059</v>
      </c>
      <c r="AG14" s="52">
        <f>AF14*10%</f>
        <v>20036.448059000002</v>
      </c>
      <c r="AH14" s="52">
        <f>IF(AA14&gt;0,AA14,0)+AG14+IF(AB14&gt;0,AB14,0)</f>
        <v>20036.448059000002</v>
      </c>
      <c r="AI14" s="76">
        <f>IF((Y14-IF(Z14&gt;0,Z14,0)-IF(AA14&gt;0,AA14,0)-IF(AB14&gt;0,AB14,0))/(AC14-AD14-AE14)&gt;0,(Y14-IF(Z14&gt;0,Z14,0)-IF(AA14&gt;0,AA14,0)-IF(AB14&gt;0,AB14,0))/(AC14-AD14-AE14),0)</f>
        <v>0</v>
      </c>
      <c r="AJ14" s="33">
        <f>IF(AI14&lt;=0.1,1.5,0)</f>
        <v>1.5</v>
      </c>
      <c r="AK14" s="8"/>
      <c r="AL14" s="30">
        <f>AJ14+AK14</f>
        <v>1.5</v>
      </c>
      <c r="AM14" s="25">
        <v>10639.4</v>
      </c>
      <c r="AN14" s="8">
        <v>11790.6</v>
      </c>
      <c r="AO14" s="111">
        <f>AM14/AN14</f>
        <v>0.9023628992587315</v>
      </c>
      <c r="AP14" s="32">
        <f>IF(AO14&lt;=1,1,0)</f>
        <v>1</v>
      </c>
      <c r="AQ14" s="8"/>
      <c r="AR14" s="56">
        <f>AP14+AQ14</f>
        <v>1</v>
      </c>
      <c r="AS14" s="25">
        <v>25474.2</v>
      </c>
      <c r="AT14" s="8">
        <v>28550.7</v>
      </c>
      <c r="AU14" s="74">
        <f>AS14/AT14</f>
        <v>0.8922443232565226</v>
      </c>
      <c r="AV14" s="32">
        <f>IF(AU14&lt;=1,1,0)</f>
        <v>1</v>
      </c>
      <c r="AW14" s="8"/>
      <c r="AX14" s="56">
        <f>AV14+AW14</f>
        <v>1</v>
      </c>
      <c r="AY14" s="118"/>
      <c r="AZ14" s="119"/>
      <c r="BA14" s="120">
        <f>AZ14</f>
        <v>0</v>
      </c>
      <c r="BB14" s="66">
        <f t="shared" si="38"/>
        <v>6.5</v>
      </c>
      <c r="BC14" s="70"/>
      <c r="BD14" s="90">
        <v>27677.721</v>
      </c>
      <c r="BF14" s="82">
        <f t="shared" si="14"/>
        <v>-0.14241832944410213</v>
      </c>
      <c r="BG14" s="69">
        <f>IF(($BF14&lt;=10%),1,0)</f>
        <v>1</v>
      </c>
      <c r="BH14" s="84">
        <f>IF(AND(BF14&gt;10%,BF14&lt;30%),1,0)</f>
        <v>0</v>
      </c>
      <c r="BI14" s="84">
        <f>IF(AND(BF14&gt;30%,BF14&lt;70%),1,0)</f>
        <v>0</v>
      </c>
      <c r="BJ14" s="84">
        <f>IF(AND(BF14&gt;70%,BF14&lt;90%),1,0)</f>
        <v>0</v>
      </c>
      <c r="BK14" s="69">
        <f>IF(($BF14&gt;=90%),1,0)</f>
        <v>0</v>
      </c>
      <c r="BM14" s="82">
        <f t="shared" si="15"/>
        <v>0.3733970962415425</v>
      </c>
      <c r="BN14" s="69">
        <f>IF(($BM14&lt;=4.9%),1,0)</f>
        <v>0</v>
      </c>
      <c r="BO14" s="84">
        <f>IF(AND(BM14&gt;5%,BM14&lt;19.9%),1,0)</f>
        <v>0</v>
      </c>
      <c r="BP14" s="84">
        <f>IF(AND(BM14&gt;20%,BM14&lt;49.9%),1,0)</f>
        <v>1</v>
      </c>
      <c r="BQ14" s="84">
        <f>IF(AND(BM14&gt;50%,BM14&lt;89.9%),1,0)</f>
        <v>0</v>
      </c>
      <c r="BR14" s="69">
        <f>IF((BM14&gt;=90%),1,0)</f>
        <v>0</v>
      </c>
    </row>
    <row r="15" spans="1:70" s="81" customFormat="1" ht="12.75">
      <c r="A15" s="92" t="s">
        <v>86</v>
      </c>
      <c r="B15" s="93">
        <v>0</v>
      </c>
      <c r="C15" s="93">
        <v>6554.64475</v>
      </c>
      <c r="D15" s="93">
        <v>0</v>
      </c>
      <c r="E15" s="94">
        <f t="shared" si="16"/>
        <v>0</v>
      </c>
      <c r="F15" s="95"/>
      <c r="G15" s="96">
        <f>IF(E15&lt;=1.05,1,0)</f>
        <v>1</v>
      </c>
      <c r="H15" s="97">
        <f t="shared" si="0"/>
        <v>1</v>
      </c>
      <c r="I15" s="93">
        <v>0</v>
      </c>
      <c r="J15" s="98">
        <v>432499.23898</v>
      </c>
      <c r="K15" s="99">
        <v>339075.08998000005</v>
      </c>
      <c r="L15" s="93">
        <v>70064</v>
      </c>
      <c r="M15" s="93">
        <v>0</v>
      </c>
      <c r="N15" s="94">
        <f t="shared" si="18"/>
        <v>0</v>
      </c>
      <c r="O15" s="95"/>
      <c r="P15" s="96">
        <f>IF(N15&lt;=0.5,1,0)</f>
        <v>1</v>
      </c>
      <c r="Q15" s="97">
        <f t="shared" si="2"/>
        <v>1</v>
      </c>
      <c r="R15" s="132">
        <v>0</v>
      </c>
      <c r="S15" s="93">
        <v>445759.95473</v>
      </c>
      <c r="T15" s="101">
        <v>146377.11433</v>
      </c>
      <c r="U15" s="94">
        <f t="shared" si="3"/>
        <v>0</v>
      </c>
      <c r="V15" s="95"/>
      <c r="W15" s="96">
        <f>IF(U15&lt;=0.15,1,0)</f>
        <v>1</v>
      </c>
      <c r="X15" s="97">
        <f t="shared" si="19"/>
        <v>1</v>
      </c>
      <c r="Y15" s="93">
        <f t="shared" si="20"/>
        <v>6554.64475</v>
      </c>
      <c r="Z15" s="102"/>
      <c r="AA15" s="102">
        <v>6554.64475</v>
      </c>
      <c r="AB15" s="102"/>
      <c r="AC15" s="102">
        <f t="shared" si="5"/>
        <v>432499.23898</v>
      </c>
      <c r="AD15" s="102">
        <f t="shared" si="6"/>
        <v>339075.08998000005</v>
      </c>
      <c r="AE15" s="102">
        <f t="shared" si="7"/>
        <v>70064</v>
      </c>
      <c r="AF15" s="102">
        <f t="shared" si="21"/>
        <v>23360.148999999976</v>
      </c>
      <c r="AG15" s="102">
        <f>AF15*5%</f>
        <v>1168.007449999999</v>
      </c>
      <c r="AH15" s="102">
        <f t="shared" si="9"/>
        <v>7722.6521999999995</v>
      </c>
      <c r="AI15" s="103">
        <f t="shared" si="10"/>
        <v>0</v>
      </c>
      <c r="AJ15" s="108"/>
      <c r="AK15" s="104">
        <f>IF(AI15&lt;=0.05,1.5,0)</f>
        <v>1.5</v>
      </c>
      <c r="AL15" s="97">
        <f t="shared" si="11"/>
        <v>1.5</v>
      </c>
      <c r="AM15" s="105">
        <v>12551.9</v>
      </c>
      <c r="AN15" s="96">
        <v>15096.2</v>
      </c>
      <c r="AO15" s="112">
        <f t="shared" si="12"/>
        <v>0.8314608974443899</v>
      </c>
      <c r="AP15" s="108"/>
      <c r="AQ15" s="104">
        <f>IF(AO15&lt;=1,1,0)</f>
        <v>1</v>
      </c>
      <c r="AR15" s="106">
        <f t="shared" si="24"/>
        <v>1</v>
      </c>
      <c r="AS15" s="105">
        <v>32832.6</v>
      </c>
      <c r="AT15" s="96">
        <v>37466.9</v>
      </c>
      <c r="AU15" s="103">
        <f t="shared" si="25"/>
        <v>0.8763094891757791</v>
      </c>
      <c r="AV15" s="108"/>
      <c r="AW15" s="104">
        <f>IF(AU15&lt;=1,1,0)</f>
        <v>1</v>
      </c>
      <c r="AX15" s="106">
        <f t="shared" si="13"/>
        <v>1</v>
      </c>
      <c r="AY15" s="118"/>
      <c r="AZ15" s="119"/>
      <c r="BA15" s="120">
        <f t="shared" si="27"/>
        <v>0</v>
      </c>
      <c r="BB15" s="107">
        <f t="shared" si="38"/>
        <v>6.5</v>
      </c>
      <c r="BC15" s="70"/>
      <c r="BD15" s="90">
        <v>41296.51</v>
      </c>
      <c r="BE15" s="69"/>
      <c r="BF15" s="82">
        <f t="shared" si="14"/>
        <v>0.9183560200785753</v>
      </c>
      <c r="BG15" s="69">
        <f t="shared" si="28"/>
        <v>0</v>
      </c>
      <c r="BH15" s="84">
        <f t="shared" si="29"/>
        <v>0</v>
      </c>
      <c r="BI15" s="84">
        <f t="shared" si="30"/>
        <v>0</v>
      </c>
      <c r="BJ15" s="84">
        <f t="shared" si="31"/>
        <v>0</v>
      </c>
      <c r="BK15" s="69">
        <f t="shared" si="32"/>
        <v>1</v>
      </c>
      <c r="BM15" s="82">
        <f t="shared" si="15"/>
        <v>0.3892062179260768</v>
      </c>
      <c r="BN15" s="69">
        <f t="shared" si="33"/>
        <v>0</v>
      </c>
      <c r="BO15" s="84">
        <f t="shared" si="34"/>
        <v>0</v>
      </c>
      <c r="BP15" s="84">
        <f t="shared" si="35"/>
        <v>1</v>
      </c>
      <c r="BQ15" s="84">
        <f t="shared" si="36"/>
        <v>0</v>
      </c>
      <c r="BR15" s="69">
        <f t="shared" si="37"/>
        <v>0</v>
      </c>
    </row>
    <row r="16" spans="1:70" s="81" customFormat="1" ht="12.75">
      <c r="A16" s="58" t="s">
        <v>87</v>
      </c>
      <c r="B16" s="37">
        <v>55000</v>
      </c>
      <c r="C16" s="37">
        <v>49593.205</v>
      </c>
      <c r="D16" s="37">
        <v>58000</v>
      </c>
      <c r="E16" s="59">
        <f t="shared" si="16"/>
        <v>0.5111846979556004</v>
      </c>
      <c r="F16" s="7">
        <f t="shared" si="17"/>
        <v>1</v>
      </c>
      <c r="G16" s="53"/>
      <c r="H16" s="54">
        <f t="shared" si="0"/>
        <v>1</v>
      </c>
      <c r="I16" s="37">
        <v>55000</v>
      </c>
      <c r="J16" s="72">
        <v>1329747.74077</v>
      </c>
      <c r="K16" s="91">
        <v>938229.94077</v>
      </c>
      <c r="L16" s="37">
        <v>226069</v>
      </c>
      <c r="M16" s="37">
        <v>0</v>
      </c>
      <c r="N16" s="59">
        <f t="shared" si="18"/>
        <v>0.33242912611031317</v>
      </c>
      <c r="O16" s="7">
        <f t="shared" si="1"/>
        <v>1</v>
      </c>
      <c r="P16" s="53"/>
      <c r="Q16" s="54">
        <f t="shared" si="2"/>
        <v>1</v>
      </c>
      <c r="R16" s="34">
        <v>4194.388650000001</v>
      </c>
      <c r="S16" s="37">
        <v>1382397.09089</v>
      </c>
      <c r="T16" s="51">
        <v>624054.5130500001</v>
      </c>
      <c r="U16" s="59">
        <f t="shared" si="3"/>
        <v>0.005530994530133003</v>
      </c>
      <c r="V16" s="7">
        <f t="shared" si="4"/>
        <v>1</v>
      </c>
      <c r="W16" s="53"/>
      <c r="X16" s="54">
        <f t="shared" si="19"/>
        <v>1</v>
      </c>
      <c r="Y16" s="37">
        <f t="shared" si="20"/>
        <v>49593.205</v>
      </c>
      <c r="Z16" s="35"/>
      <c r="AA16" s="35">
        <v>52593.205</v>
      </c>
      <c r="AB16" s="35"/>
      <c r="AC16" s="35">
        <f t="shared" si="5"/>
        <v>1329747.74077</v>
      </c>
      <c r="AD16" s="35">
        <f t="shared" si="6"/>
        <v>938229.94077</v>
      </c>
      <c r="AE16" s="35">
        <f t="shared" si="7"/>
        <v>226069</v>
      </c>
      <c r="AF16" s="35">
        <f t="shared" si="21"/>
        <v>165448.80000000005</v>
      </c>
      <c r="AG16" s="52">
        <f t="shared" si="8"/>
        <v>16544.880000000005</v>
      </c>
      <c r="AH16" s="35">
        <f>IF(AA16&gt;0,AA16,0)+AG16+IF(AB16&gt;0,AB16,0)</f>
        <v>69138.085</v>
      </c>
      <c r="AI16" s="75">
        <f t="shared" si="10"/>
        <v>0</v>
      </c>
      <c r="AJ16" s="33">
        <f t="shared" si="22"/>
        <v>1.5</v>
      </c>
      <c r="AK16" s="53"/>
      <c r="AL16" s="54">
        <f t="shared" si="11"/>
        <v>1.5</v>
      </c>
      <c r="AM16" s="55">
        <v>34236.6</v>
      </c>
      <c r="AN16" s="53">
        <v>35888.9</v>
      </c>
      <c r="AO16" s="113">
        <f t="shared" si="12"/>
        <v>0.9539606953682057</v>
      </c>
      <c r="AP16" s="32">
        <f t="shared" si="23"/>
        <v>1</v>
      </c>
      <c r="AQ16" s="53"/>
      <c r="AR16" s="78">
        <f t="shared" si="24"/>
        <v>1</v>
      </c>
      <c r="AS16" s="55">
        <v>86667.6</v>
      </c>
      <c r="AT16" s="53">
        <v>89322.7</v>
      </c>
      <c r="AU16" s="75">
        <f t="shared" si="25"/>
        <v>0.9702751932039673</v>
      </c>
      <c r="AV16" s="32">
        <f t="shared" si="26"/>
        <v>1</v>
      </c>
      <c r="AW16" s="53"/>
      <c r="AX16" s="78">
        <f t="shared" si="13"/>
        <v>1</v>
      </c>
      <c r="AY16" s="118"/>
      <c r="AZ16" s="119"/>
      <c r="BA16" s="120">
        <f t="shared" si="27"/>
        <v>0</v>
      </c>
      <c r="BB16" s="79">
        <f t="shared" si="38"/>
        <v>6.5</v>
      </c>
      <c r="BC16" s="70"/>
      <c r="BD16" s="90">
        <v>28012.954</v>
      </c>
      <c r="BE16" s="69"/>
      <c r="BF16" s="82">
        <f t="shared" si="14"/>
        <v>0.7655513847928753</v>
      </c>
      <c r="BG16" s="69">
        <f t="shared" si="28"/>
        <v>0</v>
      </c>
      <c r="BH16" s="84">
        <f t="shared" si="29"/>
        <v>0</v>
      </c>
      <c r="BI16" s="84">
        <f t="shared" si="30"/>
        <v>0</v>
      </c>
      <c r="BJ16" s="84">
        <f t="shared" si="31"/>
        <v>1</v>
      </c>
      <c r="BK16" s="69">
        <f t="shared" si="32"/>
        <v>0</v>
      </c>
      <c r="BM16" s="82">
        <f t="shared" si="15"/>
        <v>0.36004590099426725</v>
      </c>
      <c r="BN16" s="69">
        <f t="shared" si="33"/>
        <v>0</v>
      </c>
      <c r="BO16" s="84">
        <f t="shared" si="34"/>
        <v>0</v>
      </c>
      <c r="BP16" s="84">
        <f t="shared" si="35"/>
        <v>1</v>
      </c>
      <c r="BQ16" s="84">
        <f t="shared" si="36"/>
        <v>0</v>
      </c>
      <c r="BR16" s="69">
        <f t="shared" si="37"/>
        <v>0</v>
      </c>
    </row>
    <row r="17" spans="1:70" s="81" customFormat="1" ht="12.75">
      <c r="A17" s="58" t="s">
        <v>88</v>
      </c>
      <c r="B17" s="37">
        <v>0</v>
      </c>
      <c r="C17" s="37">
        <v>0</v>
      </c>
      <c r="D17" s="37">
        <v>0</v>
      </c>
      <c r="E17" s="59">
        <f t="shared" si="16"/>
        <v>0</v>
      </c>
      <c r="F17" s="7">
        <f t="shared" si="17"/>
        <v>1</v>
      </c>
      <c r="G17" s="53"/>
      <c r="H17" s="54">
        <f t="shared" si="0"/>
        <v>1</v>
      </c>
      <c r="I17" s="37">
        <v>0</v>
      </c>
      <c r="J17" s="72">
        <v>495215.17851999996</v>
      </c>
      <c r="K17" s="91">
        <v>362298.17851999996</v>
      </c>
      <c r="L17" s="37">
        <v>45181</v>
      </c>
      <c r="M17" s="37">
        <v>0</v>
      </c>
      <c r="N17" s="59">
        <f t="shared" si="18"/>
        <v>0</v>
      </c>
      <c r="O17" s="7">
        <f>IF(N17&lt;=1,1,0)</f>
        <v>1</v>
      </c>
      <c r="P17" s="53"/>
      <c r="Q17" s="54">
        <f>O17+P17</f>
        <v>1</v>
      </c>
      <c r="R17" s="34">
        <v>0</v>
      </c>
      <c r="S17" s="37">
        <v>557702.24492</v>
      </c>
      <c r="T17" s="51">
        <v>177351.47846</v>
      </c>
      <c r="U17" s="59">
        <f t="shared" si="3"/>
        <v>0</v>
      </c>
      <c r="V17" s="7">
        <f>IF(U17&lt;=0.15,1,0)</f>
        <v>1</v>
      </c>
      <c r="W17" s="53"/>
      <c r="X17" s="54">
        <f t="shared" si="19"/>
        <v>1</v>
      </c>
      <c r="Y17" s="37">
        <f t="shared" si="20"/>
        <v>0</v>
      </c>
      <c r="Z17" s="35"/>
      <c r="AA17" s="35">
        <v>0</v>
      </c>
      <c r="AB17" s="35"/>
      <c r="AC17" s="35">
        <f t="shared" si="5"/>
        <v>495215.17851999996</v>
      </c>
      <c r="AD17" s="35">
        <f t="shared" si="6"/>
        <v>362298.17851999996</v>
      </c>
      <c r="AE17" s="35">
        <f t="shared" si="7"/>
        <v>45181</v>
      </c>
      <c r="AF17" s="35">
        <f t="shared" si="21"/>
        <v>87736</v>
      </c>
      <c r="AG17" s="52">
        <f t="shared" si="8"/>
        <v>8773.6</v>
      </c>
      <c r="AH17" s="35">
        <f aca="true" t="shared" si="39" ref="AH17:AH40">IF(AA17&gt;0,AA17,0)+AG17+IF(AB17&gt;0,AB17,0)</f>
        <v>8773.6</v>
      </c>
      <c r="AI17" s="75">
        <f t="shared" si="10"/>
        <v>0</v>
      </c>
      <c r="AJ17" s="33">
        <f t="shared" si="22"/>
        <v>1.5</v>
      </c>
      <c r="AK17" s="53"/>
      <c r="AL17" s="54">
        <f t="shared" si="11"/>
        <v>1.5</v>
      </c>
      <c r="AM17" s="55">
        <v>14944.6</v>
      </c>
      <c r="AN17" s="53">
        <v>15471.3</v>
      </c>
      <c r="AO17" s="113">
        <f t="shared" si="12"/>
        <v>0.9659563191199189</v>
      </c>
      <c r="AP17" s="32">
        <f t="shared" si="23"/>
        <v>1</v>
      </c>
      <c r="AQ17" s="53"/>
      <c r="AR17" s="78">
        <f>AP17+AQ17</f>
        <v>1</v>
      </c>
      <c r="AS17" s="55">
        <v>33119.9</v>
      </c>
      <c r="AT17" s="53">
        <v>35498.1</v>
      </c>
      <c r="AU17" s="75">
        <f t="shared" si="25"/>
        <v>0.9330048650491154</v>
      </c>
      <c r="AV17" s="32">
        <f t="shared" si="26"/>
        <v>1</v>
      </c>
      <c r="AW17" s="53"/>
      <c r="AX17" s="78">
        <f t="shared" si="13"/>
        <v>1</v>
      </c>
      <c r="AY17" s="118"/>
      <c r="AZ17" s="119"/>
      <c r="BA17" s="120">
        <f t="shared" si="27"/>
        <v>0</v>
      </c>
      <c r="BB17" s="79">
        <f t="shared" si="38"/>
        <v>6.5</v>
      </c>
      <c r="BC17" s="70"/>
      <c r="BD17" s="90">
        <v>16814.179</v>
      </c>
      <c r="BE17" s="69"/>
      <c r="BF17" s="82">
        <f t="shared" si="14"/>
        <v>0.7239823232931633</v>
      </c>
      <c r="BG17" s="69">
        <f t="shared" si="28"/>
        <v>0</v>
      </c>
      <c r="BH17" s="84">
        <f t="shared" si="29"/>
        <v>0</v>
      </c>
      <c r="BI17" s="84">
        <f t="shared" si="30"/>
        <v>0</v>
      </c>
      <c r="BJ17" s="84">
        <f t="shared" si="31"/>
        <v>1</v>
      </c>
      <c r="BK17" s="69">
        <f t="shared" si="32"/>
        <v>0</v>
      </c>
      <c r="BM17" s="82">
        <f t="shared" si="15"/>
        <v>0.19503698908776873</v>
      </c>
      <c r="BN17" s="69">
        <f t="shared" si="33"/>
        <v>0</v>
      </c>
      <c r="BO17" s="84">
        <f t="shared" si="34"/>
        <v>1</v>
      </c>
      <c r="BP17" s="84">
        <f t="shared" si="35"/>
        <v>0</v>
      </c>
      <c r="BQ17" s="84">
        <f t="shared" si="36"/>
        <v>0</v>
      </c>
      <c r="BR17" s="69">
        <f t="shared" si="37"/>
        <v>0</v>
      </c>
    </row>
    <row r="18" spans="1:70" s="81" customFormat="1" ht="12.75">
      <c r="A18" s="92" t="s">
        <v>89</v>
      </c>
      <c r="B18" s="93">
        <v>0</v>
      </c>
      <c r="C18" s="93">
        <v>4741.73646</v>
      </c>
      <c r="D18" s="93">
        <v>0</v>
      </c>
      <c r="E18" s="94">
        <f>IF(AND(B18=0,D18=0),0,B18/(IF(C18&gt;0,C18,0)+D18))</f>
        <v>0</v>
      </c>
      <c r="F18" s="95"/>
      <c r="G18" s="96">
        <f>IF(E18&lt;=1.05,1,0)</f>
        <v>1</v>
      </c>
      <c r="H18" s="97">
        <f>F18+G18</f>
        <v>1</v>
      </c>
      <c r="I18" s="93">
        <v>0</v>
      </c>
      <c r="J18" s="98">
        <v>239368.38486000002</v>
      </c>
      <c r="K18" s="99">
        <v>205883.22486000002</v>
      </c>
      <c r="L18" s="93">
        <v>19895</v>
      </c>
      <c r="M18" s="93">
        <v>0</v>
      </c>
      <c r="N18" s="94">
        <f>(I18-M18)/(J18-K18-L18)</f>
        <v>0</v>
      </c>
      <c r="O18" s="95"/>
      <c r="P18" s="96">
        <f>IF(N18&lt;=0.5,1,0)</f>
        <v>1</v>
      </c>
      <c r="Q18" s="97">
        <f>O18+P18</f>
        <v>1</v>
      </c>
      <c r="R18" s="100">
        <v>0</v>
      </c>
      <c r="S18" s="93">
        <v>244110.12132</v>
      </c>
      <c r="T18" s="101">
        <v>103723.98133</v>
      </c>
      <c r="U18" s="94">
        <f>R18/(S18-T18)</f>
        <v>0</v>
      </c>
      <c r="V18" s="95"/>
      <c r="W18" s="96">
        <f>IF(U18&lt;=0.15,1,0)</f>
        <v>1</v>
      </c>
      <c r="X18" s="97">
        <f>V18+W18</f>
        <v>1</v>
      </c>
      <c r="Y18" s="93">
        <f>C18</f>
        <v>4741.73646</v>
      </c>
      <c r="Z18" s="102"/>
      <c r="AA18" s="102">
        <v>4741.73646</v>
      </c>
      <c r="AB18" s="102"/>
      <c r="AC18" s="102">
        <f>J18</f>
        <v>239368.38486000002</v>
      </c>
      <c r="AD18" s="102">
        <f>K18</f>
        <v>205883.22486000002</v>
      </c>
      <c r="AE18" s="102">
        <f>L18</f>
        <v>19895</v>
      </c>
      <c r="AF18" s="102">
        <f>AC18-AD18-AE18</f>
        <v>13590.160000000003</v>
      </c>
      <c r="AG18" s="102">
        <f>AF18*10%</f>
        <v>1359.0160000000005</v>
      </c>
      <c r="AH18" s="102">
        <f>IF(AA18&gt;0,AA18,0)+AG18+IF(AB18&gt;0,AB18,0)</f>
        <v>6100.752460000001</v>
      </c>
      <c r="AI18" s="103">
        <f>IF((Y18-IF(Z18&gt;0,Z18,0)-IF(AA18&gt;0,AA18,0)-IF(AB18&gt;0,AB18,0))/(AC18-AD18-AE18)&gt;0,(Y18-IF(Z18&gt;0,Z18,0)-IF(AA18&gt;0,AA18,0)-IF(AB18&gt;0,AB18,0))/(AC18-AD18-AE18),0)</f>
        <v>0</v>
      </c>
      <c r="AJ18" s="108"/>
      <c r="AK18" s="104">
        <f>IF(AI18&lt;=0.05,1.5,0)</f>
        <v>1.5</v>
      </c>
      <c r="AL18" s="97">
        <f>AJ18+AK18</f>
        <v>1.5</v>
      </c>
      <c r="AM18" s="105">
        <v>10560.4</v>
      </c>
      <c r="AN18" s="96">
        <v>13486.8</v>
      </c>
      <c r="AO18" s="112">
        <f>AM18/AN18</f>
        <v>0.783017468932586</v>
      </c>
      <c r="AP18" s="108"/>
      <c r="AQ18" s="104">
        <f>IF(AO18&lt;=1,1,0)</f>
        <v>1</v>
      </c>
      <c r="AR18" s="106">
        <f>AP18+AQ18</f>
        <v>1</v>
      </c>
      <c r="AS18" s="105">
        <v>25062.3</v>
      </c>
      <c r="AT18" s="96">
        <v>33826.9</v>
      </c>
      <c r="AU18" s="103">
        <f>AS18/AT18</f>
        <v>0.7408985156783506</v>
      </c>
      <c r="AV18" s="108"/>
      <c r="AW18" s="104">
        <f>IF(AU18&lt;=1,1,0)</f>
        <v>1</v>
      </c>
      <c r="AX18" s="106">
        <f>AV18+AW18</f>
        <v>1</v>
      </c>
      <c r="AY18" s="118"/>
      <c r="AZ18" s="119"/>
      <c r="BA18" s="120">
        <f>AZ18</f>
        <v>0</v>
      </c>
      <c r="BB18" s="107">
        <f t="shared" si="38"/>
        <v>6.5</v>
      </c>
      <c r="BC18" s="70"/>
      <c r="BD18" s="125">
        <v>35456.452</v>
      </c>
      <c r="BF18" s="126">
        <f t="shared" si="14"/>
        <v>0.8998103891769166</v>
      </c>
      <c r="BG18" s="81">
        <f t="shared" si="28"/>
        <v>0</v>
      </c>
      <c r="BH18" s="127">
        <f t="shared" si="29"/>
        <v>0</v>
      </c>
      <c r="BI18" s="127">
        <f t="shared" si="30"/>
        <v>0</v>
      </c>
      <c r="BJ18" s="127">
        <f t="shared" si="31"/>
        <v>1</v>
      </c>
      <c r="BK18" s="81">
        <f t="shared" si="32"/>
        <v>0</v>
      </c>
      <c r="BM18" s="126">
        <f t="shared" si="15"/>
        <v>0.40806292452572956</v>
      </c>
      <c r="BN18" s="81">
        <f t="shared" si="33"/>
        <v>0</v>
      </c>
      <c r="BO18" s="127">
        <f t="shared" si="34"/>
        <v>0</v>
      </c>
      <c r="BP18" s="127">
        <f t="shared" si="35"/>
        <v>1</v>
      </c>
      <c r="BQ18" s="127">
        <f t="shared" si="36"/>
        <v>0</v>
      </c>
      <c r="BR18" s="81">
        <f t="shared" si="37"/>
        <v>0</v>
      </c>
    </row>
    <row r="19" spans="1:70" s="81" customFormat="1" ht="12.75">
      <c r="A19" s="92" t="s">
        <v>90</v>
      </c>
      <c r="B19" s="93">
        <v>0</v>
      </c>
      <c r="C19" s="93">
        <v>0</v>
      </c>
      <c r="D19" s="93">
        <v>0</v>
      </c>
      <c r="E19" s="94">
        <f t="shared" si="16"/>
        <v>0</v>
      </c>
      <c r="F19" s="95"/>
      <c r="G19" s="96">
        <f aca="true" t="shared" si="40" ref="G19:G25">IF(E19&lt;=1.05,1,0)</f>
        <v>1</v>
      </c>
      <c r="H19" s="97">
        <f t="shared" si="0"/>
        <v>1</v>
      </c>
      <c r="I19" s="93">
        <v>0</v>
      </c>
      <c r="J19" s="98">
        <v>325354.62214</v>
      </c>
      <c r="K19" s="99">
        <v>225529.62214</v>
      </c>
      <c r="L19" s="93">
        <v>55972</v>
      </c>
      <c r="M19" s="93">
        <v>0</v>
      </c>
      <c r="N19" s="94">
        <f t="shared" si="18"/>
        <v>0</v>
      </c>
      <c r="O19" s="95"/>
      <c r="P19" s="96">
        <f aca="true" t="shared" si="41" ref="P19:P26">IF(N19&lt;=0.5,1,0)</f>
        <v>1</v>
      </c>
      <c r="Q19" s="97">
        <f t="shared" si="2"/>
        <v>1</v>
      </c>
      <c r="R19" s="100">
        <v>0</v>
      </c>
      <c r="S19" s="93">
        <v>360170.09802</v>
      </c>
      <c r="T19" s="101">
        <v>149974.70851</v>
      </c>
      <c r="U19" s="94">
        <f t="shared" si="3"/>
        <v>0</v>
      </c>
      <c r="V19" s="95"/>
      <c r="W19" s="96">
        <f aca="true" t="shared" si="42" ref="W19:W25">IF(U19&lt;=0.15,1,0)</f>
        <v>1</v>
      </c>
      <c r="X19" s="97">
        <f t="shared" si="19"/>
        <v>1</v>
      </c>
      <c r="Y19" s="93">
        <f t="shared" si="20"/>
        <v>0</v>
      </c>
      <c r="Z19" s="102"/>
      <c r="AA19" s="102">
        <v>0</v>
      </c>
      <c r="AB19" s="102"/>
      <c r="AC19" s="102">
        <f t="shared" si="5"/>
        <v>325354.62214</v>
      </c>
      <c r="AD19" s="102">
        <f t="shared" si="6"/>
        <v>225529.62214</v>
      </c>
      <c r="AE19" s="102">
        <f t="shared" si="7"/>
        <v>55972</v>
      </c>
      <c r="AF19" s="102">
        <f t="shared" si="21"/>
        <v>43853</v>
      </c>
      <c r="AG19" s="102">
        <f>AF19*10%</f>
        <v>4385.3</v>
      </c>
      <c r="AH19" s="102">
        <f t="shared" si="39"/>
        <v>4385.3</v>
      </c>
      <c r="AI19" s="103">
        <f t="shared" si="10"/>
        <v>0</v>
      </c>
      <c r="AJ19" s="108"/>
      <c r="AK19" s="104">
        <f aca="true" t="shared" si="43" ref="AK19:AK34">IF(AI19&lt;=0.05,1.5,0)</f>
        <v>1.5</v>
      </c>
      <c r="AL19" s="97">
        <f t="shared" si="11"/>
        <v>1.5</v>
      </c>
      <c r="AM19" s="105">
        <v>12638.2</v>
      </c>
      <c r="AN19" s="96">
        <v>15096.2</v>
      </c>
      <c r="AO19" s="112">
        <f t="shared" si="12"/>
        <v>0.8371775678647607</v>
      </c>
      <c r="AP19" s="108"/>
      <c r="AQ19" s="104">
        <f aca="true" t="shared" si="44" ref="AQ19:AQ34">IF(AO19&lt;=1,1,0)</f>
        <v>1</v>
      </c>
      <c r="AR19" s="106">
        <f t="shared" si="24"/>
        <v>1</v>
      </c>
      <c r="AS19" s="105">
        <v>35401</v>
      </c>
      <c r="AT19" s="96">
        <v>37466.9</v>
      </c>
      <c r="AU19" s="103">
        <f t="shared" si="25"/>
        <v>0.9448606636791408</v>
      </c>
      <c r="AV19" s="108"/>
      <c r="AW19" s="104">
        <f aca="true" t="shared" si="45" ref="AW19:AW34">IF(AU19&lt;=1,1,0)</f>
        <v>1</v>
      </c>
      <c r="AX19" s="106">
        <f t="shared" si="13"/>
        <v>1</v>
      </c>
      <c r="AY19" s="118"/>
      <c r="AZ19" s="119"/>
      <c r="BA19" s="120">
        <f t="shared" si="27"/>
        <v>0</v>
      </c>
      <c r="BB19" s="107">
        <f t="shared" si="38"/>
        <v>6.5</v>
      </c>
      <c r="BC19" s="70"/>
      <c r="BD19" s="90">
        <v>26765.724</v>
      </c>
      <c r="BE19" s="69"/>
      <c r="BF19" s="82">
        <f t="shared" si="14"/>
        <v>0.7499542616236149</v>
      </c>
      <c r="BG19" s="69">
        <f t="shared" si="28"/>
        <v>0</v>
      </c>
      <c r="BH19" s="84">
        <f t="shared" si="29"/>
        <v>0</v>
      </c>
      <c r="BI19" s="84">
        <f t="shared" si="30"/>
        <v>0</v>
      </c>
      <c r="BJ19" s="84">
        <f t="shared" si="31"/>
        <v>1</v>
      </c>
      <c r="BK19" s="69">
        <f t="shared" si="32"/>
        <v>0</v>
      </c>
      <c r="BM19" s="82">
        <f t="shared" si="15"/>
        <v>0.4717628278375838</v>
      </c>
      <c r="BN19" s="69">
        <f t="shared" si="33"/>
        <v>0</v>
      </c>
      <c r="BO19" s="84">
        <f t="shared" si="34"/>
        <v>0</v>
      </c>
      <c r="BP19" s="84">
        <f t="shared" si="35"/>
        <v>1</v>
      </c>
      <c r="BQ19" s="84">
        <f t="shared" si="36"/>
        <v>0</v>
      </c>
      <c r="BR19" s="69">
        <f t="shared" si="37"/>
        <v>0</v>
      </c>
    </row>
    <row r="20" spans="1:70" ht="12.75">
      <c r="A20" s="92" t="s">
        <v>91</v>
      </c>
      <c r="B20" s="93">
        <v>25000</v>
      </c>
      <c r="C20" s="93">
        <v>1141.4548300000001</v>
      </c>
      <c r="D20" s="93">
        <v>25000</v>
      </c>
      <c r="E20" s="94">
        <f>IF(AND(B20=0,D20=0),0,B20/(IF(C20&gt;0,C20,0)+D20))</f>
        <v>0.9563354512048785</v>
      </c>
      <c r="F20" s="95"/>
      <c r="G20" s="96">
        <f>IF(E20&lt;=1.05,1,0)</f>
        <v>1</v>
      </c>
      <c r="H20" s="97">
        <f>F20+G20</f>
        <v>1</v>
      </c>
      <c r="I20" s="93">
        <v>25000</v>
      </c>
      <c r="J20" s="98">
        <v>893481.94993</v>
      </c>
      <c r="K20" s="99">
        <v>637261.39993</v>
      </c>
      <c r="L20" s="93">
        <v>199452</v>
      </c>
      <c r="M20" s="93">
        <v>0</v>
      </c>
      <c r="N20" s="94">
        <f>(I20-M20)/(J20-K20-L20)</f>
        <v>0.44038468482989224</v>
      </c>
      <c r="O20" s="95"/>
      <c r="P20" s="96">
        <f>IF(N20&lt;=0.5,1,0)</f>
        <v>1</v>
      </c>
      <c r="Q20" s="97">
        <f>O20+P20</f>
        <v>1</v>
      </c>
      <c r="R20" s="100">
        <v>1804.305</v>
      </c>
      <c r="S20" s="93">
        <v>894623.40476</v>
      </c>
      <c r="T20" s="101">
        <v>423410.06456</v>
      </c>
      <c r="U20" s="94">
        <f>R20/(S20-T20)</f>
        <v>0.0038290617987049944</v>
      </c>
      <c r="V20" s="95"/>
      <c r="W20" s="96">
        <f>IF(U20&lt;=0.15,1,0)</f>
        <v>1</v>
      </c>
      <c r="X20" s="97">
        <f>V20+W20</f>
        <v>1</v>
      </c>
      <c r="Y20" s="93">
        <f>C20</f>
        <v>1141.4548300000001</v>
      </c>
      <c r="Z20" s="102"/>
      <c r="AA20" s="102">
        <v>1141.4548300000001</v>
      </c>
      <c r="AB20" s="102"/>
      <c r="AC20" s="102">
        <f>J20</f>
        <v>893481.94993</v>
      </c>
      <c r="AD20" s="102">
        <f>K20</f>
        <v>637261.39993</v>
      </c>
      <c r="AE20" s="102">
        <f>L20</f>
        <v>199452</v>
      </c>
      <c r="AF20" s="102">
        <f>AC20-AD20-AE20</f>
        <v>56768.55000000005</v>
      </c>
      <c r="AG20" s="102">
        <f>AF20*10%</f>
        <v>5676.855000000005</v>
      </c>
      <c r="AH20" s="102">
        <f>IF(AA20&gt;0,AA20,0)+AG20+IF(AB20&gt;0,AB20,0)</f>
        <v>6818.309830000006</v>
      </c>
      <c r="AI20" s="103">
        <f>IF((Y20-IF(Z20&gt;0,Z20,0)-IF(AA20&gt;0,AA20,0)-IF(AB20&gt;0,AB20,0))/(AC20-AD20-AE20)&gt;0,(Y20-IF(Z20&gt;0,Z20,0)-IF(AA20&gt;0,AA20,0)-IF(AB20&gt;0,AB20,0))/(AC20-AD20-AE20),0)</f>
        <v>0</v>
      </c>
      <c r="AJ20" s="108"/>
      <c r="AK20" s="104">
        <f>IF(AI20&lt;=0.05,1.5,0)</f>
        <v>1.5</v>
      </c>
      <c r="AL20" s="97">
        <f>AJ20+AK20</f>
        <v>1.5</v>
      </c>
      <c r="AM20" s="105">
        <v>35725.2</v>
      </c>
      <c r="AN20" s="96">
        <v>35888.9</v>
      </c>
      <c r="AO20" s="112">
        <f>AM20/AN20</f>
        <v>0.9954387011025692</v>
      </c>
      <c r="AP20" s="108"/>
      <c r="AQ20" s="104">
        <f>IF(AO20&lt;=1,1,0)</f>
        <v>1</v>
      </c>
      <c r="AR20" s="106">
        <f>AP20+AQ20</f>
        <v>1</v>
      </c>
      <c r="AS20" s="105">
        <v>75624.9</v>
      </c>
      <c r="AT20" s="96">
        <v>89322.7</v>
      </c>
      <c r="AU20" s="103">
        <f>AS20/AT20</f>
        <v>0.8466481644643522</v>
      </c>
      <c r="AV20" s="108"/>
      <c r="AW20" s="104">
        <f>IF(AU20&lt;=1,1,0)</f>
        <v>1</v>
      </c>
      <c r="AX20" s="106">
        <f>AV20+AW20</f>
        <v>1</v>
      </c>
      <c r="AY20" s="118"/>
      <c r="AZ20" s="119"/>
      <c r="BA20" s="120">
        <f>AZ20</f>
        <v>0</v>
      </c>
      <c r="BB20" s="107">
        <f t="shared" si="38"/>
        <v>6.5</v>
      </c>
      <c r="BC20" s="70"/>
      <c r="BD20" s="90">
        <v>83056.724</v>
      </c>
      <c r="BF20" s="82">
        <f t="shared" si="14"/>
        <v>0.879234321883946</v>
      </c>
      <c r="BG20" s="69">
        <f>IF(($BF20&lt;=10%),1,0)</f>
        <v>0</v>
      </c>
      <c r="BH20" s="84">
        <f>IF(AND(BF20&gt;10%,BF20&lt;30%),1,0)</f>
        <v>0</v>
      </c>
      <c r="BI20" s="84">
        <f>IF(AND(BF20&gt;30%,BF20&lt;70%),1,0)</f>
        <v>0</v>
      </c>
      <c r="BJ20" s="84">
        <f>IF(AND(BF20&gt;70%,BF20&lt;90%),1,0)</f>
        <v>1</v>
      </c>
      <c r="BK20" s="69">
        <f>IF(($BF20&gt;=90%),1,0)</f>
        <v>0</v>
      </c>
      <c r="BM20" s="82">
        <f t="shared" si="15"/>
        <v>0.6009904714416893</v>
      </c>
      <c r="BN20" s="69">
        <f>IF(($BM20&lt;=4.9%),1,0)</f>
        <v>0</v>
      </c>
      <c r="BO20" s="84">
        <f>IF(AND(BM20&gt;5%,BM20&lt;19.9%),1,0)</f>
        <v>0</v>
      </c>
      <c r="BP20" s="84">
        <f>IF(AND(BM20&gt;20%,BM20&lt;49.9%),1,0)</f>
        <v>0</v>
      </c>
      <c r="BQ20" s="84">
        <f>IF(AND(BM20&gt;50%,BM20&lt;89.9%),1,0)</f>
        <v>1</v>
      </c>
      <c r="BR20" s="69">
        <f>IF((BM20&gt;=90%),1,0)</f>
        <v>0</v>
      </c>
    </row>
    <row r="21" spans="1:70" s="81" customFormat="1" ht="12.75">
      <c r="A21" s="92" t="s">
        <v>92</v>
      </c>
      <c r="B21" s="93">
        <v>0</v>
      </c>
      <c r="C21" s="93">
        <v>3547.99588</v>
      </c>
      <c r="D21" s="93">
        <v>0</v>
      </c>
      <c r="E21" s="94">
        <f t="shared" si="16"/>
        <v>0</v>
      </c>
      <c r="F21" s="95"/>
      <c r="G21" s="96">
        <f t="shared" si="40"/>
        <v>1</v>
      </c>
      <c r="H21" s="97">
        <f t="shared" si="0"/>
        <v>1</v>
      </c>
      <c r="I21" s="93">
        <v>0</v>
      </c>
      <c r="J21" s="98">
        <v>181765.72632</v>
      </c>
      <c r="K21" s="99">
        <v>131504.50432</v>
      </c>
      <c r="L21" s="93">
        <v>30434</v>
      </c>
      <c r="M21" s="93">
        <v>0</v>
      </c>
      <c r="N21" s="94">
        <f t="shared" si="18"/>
        <v>0</v>
      </c>
      <c r="O21" s="95"/>
      <c r="P21" s="96">
        <f t="shared" si="41"/>
        <v>1</v>
      </c>
      <c r="Q21" s="97">
        <f t="shared" si="2"/>
        <v>1</v>
      </c>
      <c r="R21" s="100">
        <v>0</v>
      </c>
      <c r="S21" s="93">
        <v>185422.468</v>
      </c>
      <c r="T21" s="101">
        <v>80248.10153999999</v>
      </c>
      <c r="U21" s="94">
        <f t="shared" si="3"/>
        <v>0</v>
      </c>
      <c r="V21" s="95"/>
      <c r="W21" s="96">
        <f t="shared" si="42"/>
        <v>1</v>
      </c>
      <c r="X21" s="97">
        <f t="shared" si="19"/>
        <v>1</v>
      </c>
      <c r="Y21" s="93">
        <f t="shared" si="20"/>
        <v>3547.99588</v>
      </c>
      <c r="Z21" s="102"/>
      <c r="AA21" s="102">
        <v>3547.99588</v>
      </c>
      <c r="AB21" s="102"/>
      <c r="AC21" s="102">
        <f t="shared" si="5"/>
        <v>181765.72632</v>
      </c>
      <c r="AD21" s="102">
        <f t="shared" si="6"/>
        <v>131504.50432</v>
      </c>
      <c r="AE21" s="102">
        <f t="shared" si="7"/>
        <v>30434</v>
      </c>
      <c r="AF21" s="102">
        <f t="shared" si="21"/>
        <v>19827.22199999998</v>
      </c>
      <c r="AG21" s="102">
        <f>AF21*5%</f>
        <v>991.361099999999</v>
      </c>
      <c r="AH21" s="102">
        <f t="shared" si="39"/>
        <v>4539.356979999999</v>
      </c>
      <c r="AI21" s="103">
        <f t="shared" si="10"/>
        <v>0</v>
      </c>
      <c r="AJ21" s="95"/>
      <c r="AK21" s="104">
        <f t="shared" si="43"/>
        <v>1.5</v>
      </c>
      <c r="AL21" s="97">
        <f t="shared" si="11"/>
        <v>1.5</v>
      </c>
      <c r="AM21" s="105">
        <v>9821.4</v>
      </c>
      <c r="AN21" s="96">
        <v>12371.1</v>
      </c>
      <c r="AO21" s="112">
        <f t="shared" si="12"/>
        <v>0.7938986832213788</v>
      </c>
      <c r="AP21" s="95"/>
      <c r="AQ21" s="104">
        <f t="shared" si="44"/>
        <v>1</v>
      </c>
      <c r="AR21" s="106">
        <f t="shared" si="24"/>
        <v>1</v>
      </c>
      <c r="AS21" s="105">
        <v>25684.6</v>
      </c>
      <c r="AT21" s="96">
        <v>31333.4</v>
      </c>
      <c r="AU21" s="103">
        <f t="shared" si="25"/>
        <v>0.8197195325116329</v>
      </c>
      <c r="AV21" s="95"/>
      <c r="AW21" s="104">
        <f t="shared" si="45"/>
        <v>1</v>
      </c>
      <c r="AX21" s="106">
        <f t="shared" si="13"/>
        <v>1</v>
      </c>
      <c r="AY21" s="118"/>
      <c r="AZ21" s="119"/>
      <c r="BA21" s="120">
        <f t="shared" si="27"/>
        <v>0</v>
      </c>
      <c r="BB21" s="107">
        <f t="shared" si="38"/>
        <v>6.5</v>
      </c>
      <c r="BC21" s="70"/>
      <c r="BD21" s="90">
        <v>10961.854</v>
      </c>
      <c r="BE21" s="69"/>
      <c r="BF21" s="82">
        <f t="shared" si="14"/>
        <v>0.8046918252572617</v>
      </c>
      <c r="BG21" s="69">
        <f t="shared" si="28"/>
        <v>0</v>
      </c>
      <c r="BH21" s="84">
        <f t="shared" si="29"/>
        <v>0</v>
      </c>
      <c r="BI21" s="84">
        <f t="shared" si="30"/>
        <v>0</v>
      </c>
      <c r="BJ21" s="84">
        <f t="shared" si="31"/>
        <v>1</v>
      </c>
      <c r="BK21" s="69">
        <f t="shared" si="32"/>
        <v>0</v>
      </c>
      <c r="BM21" s="82">
        <f t="shared" si="15"/>
        <v>0.40777011961922305</v>
      </c>
      <c r="BN21" s="69">
        <f t="shared" si="33"/>
        <v>0</v>
      </c>
      <c r="BO21" s="84">
        <f t="shared" si="34"/>
        <v>0</v>
      </c>
      <c r="BP21" s="84">
        <f t="shared" si="35"/>
        <v>1</v>
      </c>
      <c r="BQ21" s="84">
        <f t="shared" si="36"/>
        <v>0</v>
      </c>
      <c r="BR21" s="69">
        <f t="shared" si="37"/>
        <v>0</v>
      </c>
    </row>
    <row r="22" spans="1:70" s="81" customFormat="1" ht="12.75">
      <c r="A22" s="58" t="s">
        <v>93</v>
      </c>
      <c r="B22" s="37">
        <v>0</v>
      </c>
      <c r="C22" s="37">
        <v>21076.33196</v>
      </c>
      <c r="D22" s="37">
        <v>0</v>
      </c>
      <c r="E22" s="59">
        <f>IF(AND(B22=0,D22=0),0,B22/(IF(C22&gt;0,C22,0)+D22))</f>
        <v>0</v>
      </c>
      <c r="F22" s="7">
        <f>IF(E22&lt;=1.05,1,0)</f>
        <v>1</v>
      </c>
      <c r="G22" s="53"/>
      <c r="H22" s="54">
        <f>F22+G22</f>
        <v>1</v>
      </c>
      <c r="I22" s="37">
        <v>0</v>
      </c>
      <c r="J22" s="72">
        <v>934970.44988</v>
      </c>
      <c r="K22" s="91">
        <v>363637.16764</v>
      </c>
      <c r="L22" s="37">
        <v>92764</v>
      </c>
      <c r="M22" s="37">
        <v>0</v>
      </c>
      <c r="N22" s="59">
        <f>(I22-M22)/(J22-K22-L22)</f>
        <v>0</v>
      </c>
      <c r="O22" s="7">
        <f>IF(N22&lt;=1,1,0)</f>
        <v>1</v>
      </c>
      <c r="P22" s="53"/>
      <c r="Q22" s="54">
        <f>O22+P22</f>
        <v>1</v>
      </c>
      <c r="R22" s="34">
        <v>0</v>
      </c>
      <c r="S22" s="37">
        <v>956046.7818400001</v>
      </c>
      <c r="T22" s="51">
        <v>257873.76224</v>
      </c>
      <c r="U22" s="59">
        <f>R22/(S22-T22)</f>
        <v>0</v>
      </c>
      <c r="V22" s="7">
        <f>IF(U22&lt;=0.15,1,0)</f>
        <v>1</v>
      </c>
      <c r="W22" s="53"/>
      <c r="X22" s="54">
        <f>V22+W22</f>
        <v>1</v>
      </c>
      <c r="Y22" s="37">
        <f>C22</f>
        <v>21076.33196</v>
      </c>
      <c r="Z22" s="35"/>
      <c r="AA22" s="35">
        <v>21076.33196</v>
      </c>
      <c r="AB22" s="35"/>
      <c r="AC22" s="35">
        <f>J22</f>
        <v>934970.44988</v>
      </c>
      <c r="AD22" s="35">
        <f>K22</f>
        <v>363637.16764</v>
      </c>
      <c r="AE22" s="35">
        <f>L22</f>
        <v>92764</v>
      </c>
      <c r="AF22" s="35">
        <f>AC22-AD22-AE22</f>
        <v>478569.28224</v>
      </c>
      <c r="AG22" s="52">
        <f>AF22*10%</f>
        <v>47856.928224</v>
      </c>
      <c r="AH22" s="35">
        <f>IF(AA22&gt;0,AA22,0)+AG22+IF(AB22&gt;0,AB22,0)</f>
        <v>68933.260184</v>
      </c>
      <c r="AI22" s="75">
        <f>IF((Y22-IF(Z22&gt;0,Z22,0)-IF(AA22&gt;0,AA22,0)-IF(AB22&gt;0,AB22,0))/(AC22-AD22-AE22)&gt;0,(Y22-IF(Z22&gt;0,Z22,0)-IF(AA22&gt;0,AA22,0)-IF(AB22&gt;0,AB22,0))/(AC22-AD22-AE22),0)</f>
        <v>0</v>
      </c>
      <c r="AJ22" s="33">
        <f>IF(AI22&lt;=0.1,1.5,0)</f>
        <v>1.5</v>
      </c>
      <c r="AK22" s="53"/>
      <c r="AL22" s="54">
        <f>AJ22+AK22</f>
        <v>1.5</v>
      </c>
      <c r="AM22" s="55">
        <v>24061</v>
      </c>
      <c r="AN22" s="53">
        <v>29838.8</v>
      </c>
      <c r="AO22" s="113">
        <f>AM22/AN22</f>
        <v>0.8063662077563442</v>
      </c>
      <c r="AP22" s="32">
        <f>IF(AO22&lt;=1,1,0)</f>
        <v>1</v>
      </c>
      <c r="AQ22" s="53"/>
      <c r="AR22" s="78">
        <f>AP22+AQ22</f>
        <v>1</v>
      </c>
      <c r="AS22" s="55">
        <v>57412.2</v>
      </c>
      <c r="AT22" s="53">
        <v>68219.8</v>
      </c>
      <c r="AU22" s="75">
        <f>AS22/AT22</f>
        <v>0.8415767856252876</v>
      </c>
      <c r="AV22" s="32">
        <f>IF(AU22&lt;=1,1,0)</f>
        <v>1</v>
      </c>
      <c r="AW22" s="53"/>
      <c r="AX22" s="78">
        <f>AV22+AW22</f>
        <v>1</v>
      </c>
      <c r="AY22" s="118"/>
      <c r="AZ22" s="119"/>
      <c r="BA22" s="120">
        <f>AZ22</f>
        <v>0</v>
      </c>
      <c r="BB22" s="79">
        <f t="shared" si="38"/>
        <v>6.5</v>
      </c>
      <c r="BC22" s="70"/>
      <c r="BD22" s="90">
        <v>31817.344</v>
      </c>
      <c r="BE22" s="69"/>
      <c r="BF22" s="82">
        <f t="shared" si="14"/>
        <v>0.29320392349276037</v>
      </c>
      <c r="BG22" s="69">
        <f t="shared" si="28"/>
        <v>0</v>
      </c>
      <c r="BH22" s="84">
        <f t="shared" si="29"/>
        <v>1</v>
      </c>
      <c r="BI22" s="84">
        <f t="shared" si="30"/>
        <v>0</v>
      </c>
      <c r="BJ22" s="84">
        <f t="shared" si="31"/>
        <v>0</v>
      </c>
      <c r="BK22" s="69">
        <f t="shared" si="32"/>
        <v>0</v>
      </c>
      <c r="BM22" s="82">
        <f t="shared" si="15"/>
        <v>0.18399343295301668</v>
      </c>
      <c r="BN22" s="69">
        <f t="shared" si="33"/>
        <v>0</v>
      </c>
      <c r="BO22" s="84">
        <f t="shared" si="34"/>
        <v>1</v>
      </c>
      <c r="BP22" s="84">
        <f t="shared" si="35"/>
        <v>0</v>
      </c>
      <c r="BQ22" s="84">
        <f t="shared" si="36"/>
        <v>0</v>
      </c>
      <c r="BR22" s="69">
        <f t="shared" si="37"/>
        <v>0</v>
      </c>
    </row>
    <row r="23" spans="1:70" s="81" customFormat="1" ht="12.75">
      <c r="A23" s="92" t="s">
        <v>94</v>
      </c>
      <c r="B23" s="93">
        <v>0</v>
      </c>
      <c r="C23" s="93">
        <v>5928.97644</v>
      </c>
      <c r="D23" s="93">
        <v>0</v>
      </c>
      <c r="E23" s="94">
        <f t="shared" si="16"/>
        <v>0</v>
      </c>
      <c r="F23" s="95"/>
      <c r="G23" s="96">
        <f t="shared" si="40"/>
        <v>1</v>
      </c>
      <c r="H23" s="97">
        <f t="shared" si="0"/>
        <v>1</v>
      </c>
      <c r="I23" s="93">
        <v>0</v>
      </c>
      <c r="J23" s="98">
        <v>248824.88446</v>
      </c>
      <c r="K23" s="99">
        <v>193862.98446</v>
      </c>
      <c r="L23" s="93">
        <v>42257</v>
      </c>
      <c r="M23" s="93">
        <v>0</v>
      </c>
      <c r="N23" s="94">
        <f t="shared" si="18"/>
        <v>0</v>
      </c>
      <c r="O23" s="95"/>
      <c r="P23" s="96">
        <f t="shared" si="41"/>
        <v>1</v>
      </c>
      <c r="Q23" s="97">
        <f t="shared" si="2"/>
        <v>1</v>
      </c>
      <c r="R23" s="100">
        <v>0</v>
      </c>
      <c r="S23" s="93">
        <v>254862.5569</v>
      </c>
      <c r="T23" s="101">
        <v>134568.45479999998</v>
      </c>
      <c r="U23" s="94">
        <f t="shared" si="3"/>
        <v>0</v>
      </c>
      <c r="V23" s="95"/>
      <c r="W23" s="96">
        <f t="shared" si="42"/>
        <v>1</v>
      </c>
      <c r="X23" s="97">
        <f t="shared" si="19"/>
        <v>1</v>
      </c>
      <c r="Y23" s="93">
        <f t="shared" si="20"/>
        <v>5928.97644</v>
      </c>
      <c r="Z23" s="102"/>
      <c r="AA23" s="102">
        <v>5928.97644</v>
      </c>
      <c r="AB23" s="102"/>
      <c r="AC23" s="102">
        <f t="shared" si="5"/>
        <v>248824.88446</v>
      </c>
      <c r="AD23" s="102">
        <f t="shared" si="6"/>
        <v>193862.98446</v>
      </c>
      <c r="AE23" s="102">
        <f t="shared" si="7"/>
        <v>42257</v>
      </c>
      <c r="AF23" s="102">
        <f t="shared" si="21"/>
        <v>12704.899999999994</v>
      </c>
      <c r="AG23" s="102">
        <f>AF23*5%</f>
        <v>635.2449999999998</v>
      </c>
      <c r="AH23" s="102">
        <f t="shared" si="39"/>
        <v>6564.22144</v>
      </c>
      <c r="AI23" s="103">
        <f t="shared" si="10"/>
        <v>0</v>
      </c>
      <c r="AJ23" s="95"/>
      <c r="AK23" s="104">
        <f t="shared" si="43"/>
        <v>1.5</v>
      </c>
      <c r="AL23" s="97">
        <f t="shared" si="11"/>
        <v>1.5</v>
      </c>
      <c r="AM23" s="105">
        <v>11763.7</v>
      </c>
      <c r="AN23" s="96">
        <v>13486.8</v>
      </c>
      <c r="AO23" s="112">
        <f t="shared" si="12"/>
        <v>0.8722380401577841</v>
      </c>
      <c r="AP23" s="95"/>
      <c r="AQ23" s="104">
        <f t="shared" si="44"/>
        <v>1</v>
      </c>
      <c r="AR23" s="106">
        <f t="shared" si="24"/>
        <v>1</v>
      </c>
      <c r="AS23" s="105">
        <v>32560.5</v>
      </c>
      <c r="AT23" s="96">
        <v>33826.9</v>
      </c>
      <c r="AU23" s="103">
        <f t="shared" si="25"/>
        <v>0.9625623394399132</v>
      </c>
      <c r="AV23" s="95"/>
      <c r="AW23" s="104">
        <f t="shared" si="45"/>
        <v>1</v>
      </c>
      <c r="AX23" s="106">
        <f t="shared" si="13"/>
        <v>1</v>
      </c>
      <c r="AY23" s="118"/>
      <c r="AZ23" s="119"/>
      <c r="BA23" s="120">
        <f t="shared" si="27"/>
        <v>0</v>
      </c>
      <c r="BB23" s="107">
        <f t="shared" si="38"/>
        <v>6.5</v>
      </c>
      <c r="BC23" s="70"/>
      <c r="BD23" s="90">
        <v>40337.11</v>
      </c>
      <c r="BE23" s="69"/>
      <c r="BF23" s="82">
        <f t="shared" si="14"/>
        <v>0.8888036319898429</v>
      </c>
      <c r="BG23" s="69">
        <f t="shared" si="28"/>
        <v>0</v>
      </c>
      <c r="BH23" s="84">
        <f t="shared" si="29"/>
        <v>0</v>
      </c>
      <c r="BI23" s="84">
        <f t="shared" si="30"/>
        <v>0</v>
      </c>
      <c r="BJ23" s="84">
        <f t="shared" si="31"/>
        <v>1</v>
      </c>
      <c r="BK23" s="69">
        <f t="shared" si="32"/>
        <v>0</v>
      </c>
      <c r="BM23" s="82">
        <f t="shared" si="15"/>
        <v>0.722883694561264</v>
      </c>
      <c r="BN23" s="69">
        <f t="shared" si="33"/>
        <v>0</v>
      </c>
      <c r="BO23" s="84">
        <f t="shared" si="34"/>
        <v>0</v>
      </c>
      <c r="BP23" s="84">
        <f t="shared" si="35"/>
        <v>0</v>
      </c>
      <c r="BQ23" s="84">
        <f t="shared" si="36"/>
        <v>1</v>
      </c>
      <c r="BR23" s="69">
        <f t="shared" si="37"/>
        <v>0</v>
      </c>
    </row>
    <row r="24" spans="1:70" s="81" customFormat="1" ht="12.75">
      <c r="A24" s="92" t="s">
        <v>95</v>
      </c>
      <c r="B24" s="93">
        <v>0</v>
      </c>
      <c r="C24" s="93">
        <v>1891.51</v>
      </c>
      <c r="D24" s="93">
        <v>0</v>
      </c>
      <c r="E24" s="94">
        <f t="shared" si="16"/>
        <v>0</v>
      </c>
      <c r="F24" s="95"/>
      <c r="G24" s="96">
        <f t="shared" si="40"/>
        <v>1</v>
      </c>
      <c r="H24" s="97">
        <f t="shared" si="0"/>
        <v>1</v>
      </c>
      <c r="I24" s="93">
        <v>0</v>
      </c>
      <c r="J24" s="98">
        <v>545167.07076</v>
      </c>
      <c r="K24" s="99">
        <v>368120.91076</v>
      </c>
      <c r="L24" s="93">
        <v>112619</v>
      </c>
      <c r="M24" s="93">
        <v>0</v>
      </c>
      <c r="N24" s="94">
        <f t="shared" si="18"/>
        <v>0</v>
      </c>
      <c r="O24" s="95"/>
      <c r="P24" s="96">
        <f t="shared" si="41"/>
        <v>1</v>
      </c>
      <c r="Q24" s="97">
        <f t="shared" si="2"/>
        <v>1</v>
      </c>
      <c r="R24" s="100">
        <v>0</v>
      </c>
      <c r="S24" s="93">
        <v>547058.58076</v>
      </c>
      <c r="T24" s="101">
        <v>260301.24626</v>
      </c>
      <c r="U24" s="94">
        <f t="shared" si="3"/>
        <v>0</v>
      </c>
      <c r="V24" s="95"/>
      <c r="W24" s="96">
        <f t="shared" si="42"/>
        <v>1</v>
      </c>
      <c r="X24" s="97">
        <f t="shared" si="19"/>
        <v>1</v>
      </c>
      <c r="Y24" s="93">
        <f t="shared" si="20"/>
        <v>1891.51</v>
      </c>
      <c r="Z24" s="102"/>
      <c r="AA24" s="102">
        <v>1891.51</v>
      </c>
      <c r="AB24" s="102"/>
      <c r="AC24" s="102">
        <f t="shared" si="5"/>
        <v>545167.07076</v>
      </c>
      <c r="AD24" s="102">
        <f t="shared" si="6"/>
        <v>368120.91076</v>
      </c>
      <c r="AE24" s="102">
        <f t="shared" si="7"/>
        <v>112619</v>
      </c>
      <c r="AF24" s="102">
        <f t="shared" si="21"/>
        <v>64427.16000000003</v>
      </c>
      <c r="AG24" s="102">
        <f>AF24*10%</f>
        <v>6442.716000000004</v>
      </c>
      <c r="AH24" s="102">
        <f t="shared" si="39"/>
        <v>8334.226000000004</v>
      </c>
      <c r="AI24" s="103">
        <f t="shared" si="10"/>
        <v>0</v>
      </c>
      <c r="AJ24" s="108"/>
      <c r="AK24" s="104">
        <f t="shared" si="43"/>
        <v>1.5</v>
      </c>
      <c r="AL24" s="97">
        <f t="shared" si="11"/>
        <v>1.5</v>
      </c>
      <c r="AM24" s="105">
        <v>19786.8</v>
      </c>
      <c r="AN24" s="96">
        <v>21499.3</v>
      </c>
      <c r="AO24" s="112">
        <f t="shared" si="12"/>
        <v>0.9203462438311945</v>
      </c>
      <c r="AP24" s="108"/>
      <c r="AQ24" s="104">
        <f t="shared" si="44"/>
        <v>1</v>
      </c>
      <c r="AR24" s="106">
        <f t="shared" si="24"/>
        <v>1</v>
      </c>
      <c r="AS24" s="105">
        <v>47619.2</v>
      </c>
      <c r="AT24" s="96">
        <v>49346.9</v>
      </c>
      <c r="AU24" s="103">
        <f t="shared" si="25"/>
        <v>0.9649886821664582</v>
      </c>
      <c r="AV24" s="108"/>
      <c r="AW24" s="104">
        <f t="shared" si="45"/>
        <v>1</v>
      </c>
      <c r="AX24" s="106">
        <f t="shared" si="13"/>
        <v>1</v>
      </c>
      <c r="AY24" s="118"/>
      <c r="AZ24" s="119"/>
      <c r="BA24" s="120">
        <f t="shared" si="27"/>
        <v>0</v>
      </c>
      <c r="BB24" s="107">
        <f t="shared" si="38"/>
        <v>6.5</v>
      </c>
      <c r="BC24" s="70"/>
      <c r="BD24" s="90">
        <v>16988.464</v>
      </c>
      <c r="BE24" s="69"/>
      <c r="BF24" s="82">
        <f t="shared" si="14"/>
        <v>0.7738333121809773</v>
      </c>
      <c r="BG24" s="69">
        <f t="shared" si="28"/>
        <v>0</v>
      </c>
      <c r="BH24" s="84">
        <f t="shared" si="29"/>
        <v>0</v>
      </c>
      <c r="BI24" s="84">
        <f t="shared" si="30"/>
        <v>0</v>
      </c>
      <c r="BJ24" s="84">
        <f t="shared" si="31"/>
        <v>1</v>
      </c>
      <c r="BK24" s="69">
        <f t="shared" si="32"/>
        <v>0</v>
      </c>
      <c r="BM24" s="82">
        <f t="shared" si="15"/>
        <v>0.45497723086821185</v>
      </c>
      <c r="BN24" s="69">
        <f t="shared" si="33"/>
        <v>0</v>
      </c>
      <c r="BO24" s="84">
        <f t="shared" si="34"/>
        <v>0</v>
      </c>
      <c r="BP24" s="84">
        <f t="shared" si="35"/>
        <v>1</v>
      </c>
      <c r="BQ24" s="84">
        <f t="shared" si="36"/>
        <v>0</v>
      </c>
      <c r="BR24" s="69">
        <f t="shared" si="37"/>
        <v>0</v>
      </c>
    </row>
    <row r="25" spans="1:70" s="81" customFormat="1" ht="12.75">
      <c r="A25" s="92" t="s">
        <v>96</v>
      </c>
      <c r="B25" s="93">
        <v>0</v>
      </c>
      <c r="C25" s="93">
        <v>0</v>
      </c>
      <c r="D25" s="93">
        <v>0</v>
      </c>
      <c r="E25" s="94">
        <f t="shared" si="16"/>
        <v>0</v>
      </c>
      <c r="F25" s="95"/>
      <c r="G25" s="96">
        <f t="shared" si="40"/>
        <v>1</v>
      </c>
      <c r="H25" s="97">
        <f t="shared" si="0"/>
        <v>1</v>
      </c>
      <c r="I25" s="93">
        <v>0</v>
      </c>
      <c r="J25" s="98">
        <v>298692.61302999995</v>
      </c>
      <c r="K25" s="99">
        <v>238305.51303</v>
      </c>
      <c r="L25" s="93">
        <v>40882</v>
      </c>
      <c r="M25" s="93">
        <v>0</v>
      </c>
      <c r="N25" s="94">
        <f t="shared" si="18"/>
        <v>0</v>
      </c>
      <c r="O25" s="95"/>
      <c r="P25" s="96">
        <f t="shared" si="41"/>
        <v>1</v>
      </c>
      <c r="Q25" s="97">
        <f t="shared" si="2"/>
        <v>1</v>
      </c>
      <c r="R25" s="100">
        <v>0</v>
      </c>
      <c r="S25" s="93">
        <v>312621.67641</v>
      </c>
      <c r="T25" s="101">
        <v>123085.54651</v>
      </c>
      <c r="U25" s="94">
        <f t="shared" si="3"/>
        <v>0</v>
      </c>
      <c r="V25" s="95"/>
      <c r="W25" s="96">
        <f t="shared" si="42"/>
        <v>1</v>
      </c>
      <c r="X25" s="97">
        <f t="shared" si="19"/>
        <v>1</v>
      </c>
      <c r="Y25" s="93">
        <f t="shared" si="20"/>
        <v>0</v>
      </c>
      <c r="Z25" s="102"/>
      <c r="AA25" s="102">
        <v>0</v>
      </c>
      <c r="AB25" s="102"/>
      <c r="AC25" s="102">
        <f t="shared" si="5"/>
        <v>298692.61302999995</v>
      </c>
      <c r="AD25" s="102">
        <f t="shared" si="6"/>
        <v>238305.51303</v>
      </c>
      <c r="AE25" s="102">
        <f t="shared" si="7"/>
        <v>40882</v>
      </c>
      <c r="AF25" s="102">
        <f t="shared" si="21"/>
        <v>19505.099999999948</v>
      </c>
      <c r="AG25" s="102">
        <f aca="true" t="shared" si="46" ref="AG25:AG32">AF25*5%</f>
        <v>975.2549999999974</v>
      </c>
      <c r="AH25" s="102">
        <f t="shared" si="39"/>
        <v>975.2549999999974</v>
      </c>
      <c r="AI25" s="103">
        <f t="shared" si="10"/>
        <v>0</v>
      </c>
      <c r="AJ25" s="108"/>
      <c r="AK25" s="104">
        <f t="shared" si="43"/>
        <v>1.5</v>
      </c>
      <c r="AL25" s="97">
        <f t="shared" si="11"/>
        <v>1.5</v>
      </c>
      <c r="AM25" s="105">
        <v>12882.6</v>
      </c>
      <c r="AN25" s="96">
        <v>15096.2</v>
      </c>
      <c r="AO25" s="112">
        <f t="shared" si="12"/>
        <v>0.8533670725083133</v>
      </c>
      <c r="AP25" s="108"/>
      <c r="AQ25" s="104">
        <f t="shared" si="44"/>
        <v>1</v>
      </c>
      <c r="AR25" s="106">
        <f>AP25+AQ25</f>
        <v>1</v>
      </c>
      <c r="AS25" s="105">
        <v>32934.7</v>
      </c>
      <c r="AT25" s="96">
        <v>37466.9</v>
      </c>
      <c r="AU25" s="103">
        <f t="shared" si="25"/>
        <v>0.8790345611726617</v>
      </c>
      <c r="AV25" s="108"/>
      <c r="AW25" s="104">
        <f t="shared" si="45"/>
        <v>1</v>
      </c>
      <c r="AX25" s="106">
        <f t="shared" si="13"/>
        <v>1</v>
      </c>
      <c r="AY25" s="118"/>
      <c r="AZ25" s="119"/>
      <c r="BA25" s="120">
        <f t="shared" si="27"/>
        <v>0</v>
      </c>
      <c r="BB25" s="107">
        <f t="shared" si="38"/>
        <v>6.5</v>
      </c>
      <c r="BC25" s="70"/>
      <c r="BD25" s="90">
        <v>40388.538</v>
      </c>
      <c r="BE25" s="69"/>
      <c r="BF25" s="82">
        <f t="shared" si="14"/>
        <v>0.8889275905205188</v>
      </c>
      <c r="BG25" s="69">
        <f t="shared" si="28"/>
        <v>0</v>
      </c>
      <c r="BH25" s="84">
        <f t="shared" si="29"/>
        <v>0</v>
      </c>
      <c r="BI25" s="84">
        <f t="shared" si="30"/>
        <v>0</v>
      </c>
      <c r="BJ25" s="84">
        <f t="shared" si="31"/>
        <v>1</v>
      </c>
      <c r="BK25" s="69">
        <f t="shared" si="32"/>
        <v>0</v>
      </c>
      <c r="BM25" s="82">
        <f t="shared" si="15"/>
        <v>0.4627976516579649</v>
      </c>
      <c r="BN25" s="69">
        <f t="shared" si="33"/>
        <v>0</v>
      </c>
      <c r="BO25" s="84">
        <f t="shared" si="34"/>
        <v>0</v>
      </c>
      <c r="BP25" s="84">
        <f t="shared" si="35"/>
        <v>1</v>
      </c>
      <c r="BQ25" s="84">
        <f t="shared" si="36"/>
        <v>0</v>
      </c>
      <c r="BR25" s="69">
        <f t="shared" si="37"/>
        <v>0</v>
      </c>
    </row>
    <row r="26" spans="1:70" s="81" customFormat="1" ht="12.75">
      <c r="A26" s="92" t="s">
        <v>97</v>
      </c>
      <c r="B26" s="93">
        <v>0</v>
      </c>
      <c r="C26" s="93">
        <v>7329.1906</v>
      </c>
      <c r="D26" s="93">
        <v>0</v>
      </c>
      <c r="E26" s="94">
        <f t="shared" si="16"/>
        <v>0</v>
      </c>
      <c r="F26" s="95"/>
      <c r="G26" s="96">
        <f aca="true" t="shared" si="47" ref="G26:G39">IF(E26&lt;=1.05,1,0)</f>
        <v>1</v>
      </c>
      <c r="H26" s="97">
        <f t="shared" si="0"/>
        <v>1</v>
      </c>
      <c r="I26" s="93">
        <v>0</v>
      </c>
      <c r="J26" s="98">
        <v>513251.21421</v>
      </c>
      <c r="K26" s="99">
        <v>370654.11420999997</v>
      </c>
      <c r="L26" s="93">
        <v>100240</v>
      </c>
      <c r="M26" s="93">
        <v>0</v>
      </c>
      <c r="N26" s="94">
        <f t="shared" si="18"/>
        <v>0</v>
      </c>
      <c r="O26" s="95"/>
      <c r="P26" s="96">
        <f t="shared" si="41"/>
        <v>1</v>
      </c>
      <c r="Q26" s="97">
        <f>O26+P26</f>
        <v>1</v>
      </c>
      <c r="R26" s="100">
        <v>0</v>
      </c>
      <c r="S26" s="93">
        <v>520689.09981</v>
      </c>
      <c r="T26" s="101">
        <v>244811.08584</v>
      </c>
      <c r="U26" s="94">
        <f t="shared" si="3"/>
        <v>0</v>
      </c>
      <c r="V26" s="95"/>
      <c r="W26" s="96">
        <f aca="true" t="shared" si="48" ref="W26:W39">IF(U26&lt;=0.15,1,0)</f>
        <v>1</v>
      </c>
      <c r="X26" s="97">
        <f t="shared" si="19"/>
        <v>1</v>
      </c>
      <c r="Y26" s="93">
        <f t="shared" si="20"/>
        <v>7329.1906</v>
      </c>
      <c r="Z26" s="102"/>
      <c r="AA26" s="102">
        <v>7329.1906</v>
      </c>
      <c r="AB26" s="102"/>
      <c r="AC26" s="102">
        <f t="shared" si="5"/>
        <v>513251.21421</v>
      </c>
      <c r="AD26" s="102">
        <f t="shared" si="6"/>
        <v>370654.11420999997</v>
      </c>
      <c r="AE26" s="102">
        <f t="shared" si="7"/>
        <v>100240</v>
      </c>
      <c r="AF26" s="102">
        <f t="shared" si="21"/>
        <v>42357.100000000035</v>
      </c>
      <c r="AG26" s="102">
        <f>AF26*10%</f>
        <v>4235.710000000004</v>
      </c>
      <c r="AH26" s="102">
        <f t="shared" si="39"/>
        <v>11564.900600000004</v>
      </c>
      <c r="AI26" s="103">
        <f t="shared" si="10"/>
        <v>0</v>
      </c>
      <c r="AJ26" s="108"/>
      <c r="AK26" s="104">
        <f t="shared" si="43"/>
        <v>1.5</v>
      </c>
      <c r="AL26" s="97">
        <f t="shared" si="11"/>
        <v>1.5</v>
      </c>
      <c r="AM26" s="105">
        <v>13778.7</v>
      </c>
      <c r="AN26" s="96">
        <v>17840.7</v>
      </c>
      <c r="AO26" s="112">
        <f t="shared" si="12"/>
        <v>0.772318350737359</v>
      </c>
      <c r="AP26" s="108"/>
      <c r="AQ26" s="104">
        <f t="shared" si="44"/>
        <v>1</v>
      </c>
      <c r="AR26" s="106">
        <f t="shared" si="24"/>
        <v>1</v>
      </c>
      <c r="AS26" s="105">
        <v>31799.2</v>
      </c>
      <c r="AT26" s="96">
        <v>42505.2</v>
      </c>
      <c r="AU26" s="103">
        <f t="shared" si="25"/>
        <v>0.7481249353020337</v>
      </c>
      <c r="AV26" s="108"/>
      <c r="AW26" s="104">
        <f t="shared" si="45"/>
        <v>1</v>
      </c>
      <c r="AX26" s="106">
        <f t="shared" si="13"/>
        <v>1</v>
      </c>
      <c r="AY26" s="118"/>
      <c r="AZ26" s="119"/>
      <c r="BA26" s="120">
        <f t="shared" si="27"/>
        <v>0</v>
      </c>
      <c r="BB26" s="107">
        <f t="shared" si="38"/>
        <v>6.5</v>
      </c>
      <c r="BC26" s="70"/>
      <c r="BD26" s="90">
        <v>46282.38238</v>
      </c>
      <c r="BE26" s="69"/>
      <c r="BF26" s="82">
        <f t="shared" si="14"/>
        <v>0.8422102527770444</v>
      </c>
      <c r="BG26" s="69">
        <f t="shared" si="28"/>
        <v>0</v>
      </c>
      <c r="BH26" s="84">
        <f t="shared" si="29"/>
        <v>0</v>
      </c>
      <c r="BI26" s="84">
        <f t="shared" si="30"/>
        <v>0</v>
      </c>
      <c r="BJ26" s="84">
        <f t="shared" si="31"/>
        <v>1</v>
      </c>
      <c r="BK26" s="69">
        <f t="shared" si="32"/>
        <v>0</v>
      </c>
      <c r="BM26" s="82">
        <f t="shared" si="15"/>
        <v>0.545828908925432</v>
      </c>
      <c r="BN26" s="69">
        <f t="shared" si="33"/>
        <v>0</v>
      </c>
      <c r="BO26" s="84">
        <f t="shared" si="34"/>
        <v>0</v>
      </c>
      <c r="BP26" s="84">
        <f t="shared" si="35"/>
        <v>0</v>
      </c>
      <c r="BQ26" s="84">
        <f t="shared" si="36"/>
        <v>1</v>
      </c>
      <c r="BR26" s="69">
        <f t="shared" si="37"/>
        <v>0</v>
      </c>
    </row>
    <row r="27" spans="1:70" s="81" customFormat="1" ht="12.75">
      <c r="A27" s="92" t="s">
        <v>98</v>
      </c>
      <c r="B27" s="93">
        <v>0</v>
      </c>
      <c r="C27" s="93">
        <v>473.44923</v>
      </c>
      <c r="D27" s="93">
        <v>0</v>
      </c>
      <c r="E27" s="94">
        <f t="shared" si="16"/>
        <v>0</v>
      </c>
      <c r="F27" s="95"/>
      <c r="G27" s="96">
        <f t="shared" si="47"/>
        <v>1</v>
      </c>
      <c r="H27" s="97">
        <f t="shared" si="0"/>
        <v>1</v>
      </c>
      <c r="I27" s="93">
        <v>0</v>
      </c>
      <c r="J27" s="98">
        <v>385802.87005</v>
      </c>
      <c r="K27" s="99">
        <v>270297.67005</v>
      </c>
      <c r="L27" s="93">
        <v>55737</v>
      </c>
      <c r="M27" s="93">
        <v>0</v>
      </c>
      <c r="N27" s="94">
        <f t="shared" si="18"/>
        <v>0</v>
      </c>
      <c r="O27" s="95"/>
      <c r="P27" s="96">
        <f aca="true" t="shared" si="49" ref="P27:P39">IF(N27&lt;=0.5,1,0)</f>
        <v>1</v>
      </c>
      <c r="Q27" s="97">
        <f t="shared" si="2"/>
        <v>1</v>
      </c>
      <c r="R27" s="100">
        <v>0</v>
      </c>
      <c r="S27" s="93">
        <v>395617.47939999995</v>
      </c>
      <c r="T27" s="101">
        <v>179223.15992999997</v>
      </c>
      <c r="U27" s="94">
        <f t="shared" si="3"/>
        <v>0</v>
      </c>
      <c r="V27" s="95"/>
      <c r="W27" s="96">
        <f t="shared" si="48"/>
        <v>1</v>
      </c>
      <c r="X27" s="97">
        <f t="shared" si="19"/>
        <v>1</v>
      </c>
      <c r="Y27" s="93">
        <f t="shared" si="20"/>
        <v>473.44923</v>
      </c>
      <c r="Z27" s="102"/>
      <c r="AA27" s="102">
        <v>473.44923</v>
      </c>
      <c r="AB27" s="102"/>
      <c r="AC27" s="102">
        <f t="shared" si="5"/>
        <v>385802.87005</v>
      </c>
      <c r="AD27" s="102">
        <f t="shared" si="6"/>
        <v>270297.67005</v>
      </c>
      <c r="AE27" s="102">
        <f t="shared" si="7"/>
        <v>55737</v>
      </c>
      <c r="AF27" s="102">
        <f t="shared" si="21"/>
        <v>59768.20000000001</v>
      </c>
      <c r="AG27" s="102">
        <f t="shared" si="46"/>
        <v>2988.4100000000008</v>
      </c>
      <c r="AH27" s="102">
        <f t="shared" si="39"/>
        <v>3461.859230000001</v>
      </c>
      <c r="AI27" s="103">
        <f t="shared" si="10"/>
        <v>0</v>
      </c>
      <c r="AJ27" s="95"/>
      <c r="AK27" s="104">
        <f t="shared" si="43"/>
        <v>1.5</v>
      </c>
      <c r="AL27" s="97">
        <f t="shared" si="11"/>
        <v>1.5</v>
      </c>
      <c r="AM27" s="105">
        <v>13488.1</v>
      </c>
      <c r="AN27" s="96">
        <v>14022.1</v>
      </c>
      <c r="AO27" s="112">
        <f t="shared" si="12"/>
        <v>0.9619172591837172</v>
      </c>
      <c r="AP27" s="95"/>
      <c r="AQ27" s="104">
        <f t="shared" si="44"/>
        <v>1</v>
      </c>
      <c r="AR27" s="106">
        <f t="shared" si="24"/>
        <v>1</v>
      </c>
      <c r="AS27" s="105">
        <v>32554.2</v>
      </c>
      <c r="AT27" s="96">
        <v>33233.8</v>
      </c>
      <c r="AU27" s="103">
        <f t="shared" si="25"/>
        <v>0.979550939104165</v>
      </c>
      <c r="AV27" s="95"/>
      <c r="AW27" s="104">
        <f t="shared" si="45"/>
        <v>1</v>
      </c>
      <c r="AX27" s="106">
        <f t="shared" si="13"/>
        <v>1</v>
      </c>
      <c r="AY27" s="118"/>
      <c r="AZ27" s="119"/>
      <c r="BA27" s="120">
        <f t="shared" si="27"/>
        <v>0</v>
      </c>
      <c r="BB27" s="107">
        <f t="shared" si="38"/>
        <v>6.5</v>
      </c>
      <c r="BC27" s="70"/>
      <c r="BD27" s="90">
        <v>30349.422</v>
      </c>
      <c r="BE27" s="69"/>
      <c r="BF27" s="82">
        <f t="shared" si="14"/>
        <v>0.7106772975657616</v>
      </c>
      <c r="BG27" s="69">
        <f t="shared" si="28"/>
        <v>0</v>
      </c>
      <c r="BH27" s="84">
        <f t="shared" si="29"/>
        <v>0</v>
      </c>
      <c r="BI27" s="84">
        <f t="shared" si="30"/>
        <v>0</v>
      </c>
      <c r="BJ27" s="84">
        <f t="shared" si="31"/>
        <v>1</v>
      </c>
      <c r="BK27" s="69">
        <f t="shared" si="32"/>
        <v>0</v>
      </c>
      <c r="BM27" s="82">
        <f t="shared" si="15"/>
        <v>0.41672254235419953</v>
      </c>
      <c r="BN27" s="69">
        <f t="shared" si="33"/>
        <v>0</v>
      </c>
      <c r="BO27" s="84">
        <f t="shared" si="34"/>
        <v>0</v>
      </c>
      <c r="BP27" s="84">
        <f t="shared" si="35"/>
        <v>1</v>
      </c>
      <c r="BQ27" s="84">
        <f t="shared" si="36"/>
        <v>0</v>
      </c>
      <c r="BR27" s="69">
        <f t="shared" si="37"/>
        <v>0</v>
      </c>
    </row>
    <row r="28" spans="1:70" s="81" customFormat="1" ht="12.75">
      <c r="A28" s="92" t="s">
        <v>99</v>
      </c>
      <c r="B28" s="93">
        <v>0</v>
      </c>
      <c r="C28" s="93">
        <v>1166.4598</v>
      </c>
      <c r="D28" s="93">
        <v>0</v>
      </c>
      <c r="E28" s="94">
        <f t="shared" si="16"/>
        <v>0</v>
      </c>
      <c r="F28" s="95"/>
      <c r="G28" s="96">
        <f t="shared" si="47"/>
        <v>1</v>
      </c>
      <c r="H28" s="97">
        <f t="shared" si="0"/>
        <v>1</v>
      </c>
      <c r="I28" s="93">
        <v>0</v>
      </c>
      <c r="J28" s="98">
        <v>338448.47627999994</v>
      </c>
      <c r="K28" s="99">
        <v>230354.24628</v>
      </c>
      <c r="L28" s="93">
        <v>66067</v>
      </c>
      <c r="M28" s="93">
        <v>0</v>
      </c>
      <c r="N28" s="94">
        <f t="shared" si="18"/>
        <v>0</v>
      </c>
      <c r="O28" s="95"/>
      <c r="P28" s="96">
        <f t="shared" si="49"/>
        <v>1</v>
      </c>
      <c r="Q28" s="97">
        <f t="shared" si="2"/>
        <v>1</v>
      </c>
      <c r="R28" s="100">
        <v>0</v>
      </c>
      <c r="S28" s="93">
        <v>339614.93607999996</v>
      </c>
      <c r="T28" s="101">
        <v>157078.98665</v>
      </c>
      <c r="U28" s="94">
        <f t="shared" si="3"/>
        <v>0</v>
      </c>
      <c r="V28" s="95"/>
      <c r="W28" s="96">
        <f t="shared" si="48"/>
        <v>1</v>
      </c>
      <c r="X28" s="97">
        <f t="shared" si="19"/>
        <v>1</v>
      </c>
      <c r="Y28" s="93">
        <f t="shared" si="20"/>
        <v>1166.4598</v>
      </c>
      <c r="Z28" s="102"/>
      <c r="AA28" s="102">
        <v>1166.4598</v>
      </c>
      <c r="AB28" s="102"/>
      <c r="AC28" s="102">
        <f t="shared" si="5"/>
        <v>338448.47627999994</v>
      </c>
      <c r="AD28" s="102">
        <f t="shared" si="6"/>
        <v>230354.24628</v>
      </c>
      <c r="AE28" s="102">
        <f t="shared" si="7"/>
        <v>66067</v>
      </c>
      <c r="AF28" s="102">
        <f t="shared" si="21"/>
        <v>42027.22999999995</v>
      </c>
      <c r="AG28" s="102">
        <f t="shared" si="46"/>
        <v>2101.3614999999977</v>
      </c>
      <c r="AH28" s="102">
        <f t="shared" si="39"/>
        <v>3267.821299999998</v>
      </c>
      <c r="AI28" s="103">
        <f t="shared" si="10"/>
        <v>0</v>
      </c>
      <c r="AJ28" s="95"/>
      <c r="AK28" s="104">
        <f t="shared" si="43"/>
        <v>1.5</v>
      </c>
      <c r="AL28" s="97">
        <f t="shared" si="11"/>
        <v>1.5</v>
      </c>
      <c r="AM28" s="105">
        <v>13667</v>
      </c>
      <c r="AN28" s="96">
        <v>15096.2</v>
      </c>
      <c r="AO28" s="112">
        <f t="shared" si="12"/>
        <v>0.9053271684264914</v>
      </c>
      <c r="AP28" s="95"/>
      <c r="AQ28" s="104">
        <f t="shared" si="44"/>
        <v>1</v>
      </c>
      <c r="AR28" s="106">
        <f t="shared" si="24"/>
        <v>1</v>
      </c>
      <c r="AS28" s="105">
        <v>32503.4</v>
      </c>
      <c r="AT28" s="96">
        <v>37466.9</v>
      </c>
      <c r="AU28" s="103">
        <f t="shared" si="25"/>
        <v>0.8675230670271626</v>
      </c>
      <c r="AV28" s="95"/>
      <c r="AW28" s="104">
        <f t="shared" si="45"/>
        <v>1</v>
      </c>
      <c r="AX28" s="106">
        <f t="shared" si="13"/>
        <v>1</v>
      </c>
      <c r="AY28" s="118"/>
      <c r="AZ28" s="119"/>
      <c r="BA28" s="120">
        <f t="shared" si="27"/>
        <v>0</v>
      </c>
      <c r="BB28" s="107">
        <f t="shared" si="38"/>
        <v>6.5</v>
      </c>
      <c r="BC28" s="70"/>
      <c r="BD28" s="90">
        <v>43739.488</v>
      </c>
      <c r="BE28" s="69"/>
      <c r="BF28" s="82">
        <f t="shared" si="14"/>
        <v>0.7682783907826118</v>
      </c>
      <c r="BG28" s="69">
        <f t="shared" si="28"/>
        <v>0</v>
      </c>
      <c r="BH28" s="84">
        <f t="shared" si="29"/>
        <v>0</v>
      </c>
      <c r="BI28" s="84">
        <f t="shared" si="30"/>
        <v>0</v>
      </c>
      <c r="BJ28" s="84">
        <f t="shared" si="31"/>
        <v>1</v>
      </c>
      <c r="BK28" s="69">
        <f t="shared" si="32"/>
        <v>0</v>
      </c>
      <c r="BM28" s="82">
        <f t="shared" si="15"/>
        <v>0.6054297678402748</v>
      </c>
      <c r="BN28" s="69">
        <f t="shared" si="33"/>
        <v>0</v>
      </c>
      <c r="BO28" s="84">
        <f t="shared" si="34"/>
        <v>0</v>
      </c>
      <c r="BP28" s="84">
        <f t="shared" si="35"/>
        <v>0</v>
      </c>
      <c r="BQ28" s="84">
        <f t="shared" si="36"/>
        <v>1</v>
      </c>
      <c r="BR28" s="69">
        <f t="shared" si="37"/>
        <v>0</v>
      </c>
    </row>
    <row r="29" spans="1:70" s="81" customFormat="1" ht="12.75">
      <c r="A29" s="92" t="s">
        <v>100</v>
      </c>
      <c r="B29" s="93">
        <v>0</v>
      </c>
      <c r="C29" s="93">
        <v>4790.96367</v>
      </c>
      <c r="D29" s="93">
        <v>0</v>
      </c>
      <c r="E29" s="94">
        <f t="shared" si="16"/>
        <v>0</v>
      </c>
      <c r="F29" s="95"/>
      <c r="G29" s="96">
        <f t="shared" si="47"/>
        <v>1</v>
      </c>
      <c r="H29" s="97">
        <f t="shared" si="0"/>
        <v>1</v>
      </c>
      <c r="I29" s="93">
        <v>0</v>
      </c>
      <c r="J29" s="98">
        <v>271825.45689</v>
      </c>
      <c r="K29" s="99">
        <v>220777.45688999997</v>
      </c>
      <c r="L29" s="93">
        <v>30961</v>
      </c>
      <c r="M29" s="93">
        <v>0</v>
      </c>
      <c r="N29" s="94">
        <f t="shared" si="18"/>
        <v>0</v>
      </c>
      <c r="O29" s="95"/>
      <c r="P29" s="96">
        <f t="shared" si="49"/>
        <v>1</v>
      </c>
      <c r="Q29" s="97">
        <f t="shared" si="2"/>
        <v>1</v>
      </c>
      <c r="R29" s="100">
        <v>0</v>
      </c>
      <c r="S29" s="93">
        <v>276616.42056</v>
      </c>
      <c r="T29" s="101">
        <v>134837.09772</v>
      </c>
      <c r="U29" s="94">
        <f t="shared" si="3"/>
        <v>0</v>
      </c>
      <c r="V29" s="95"/>
      <c r="W29" s="96">
        <f t="shared" si="48"/>
        <v>1</v>
      </c>
      <c r="X29" s="97">
        <f t="shared" si="19"/>
        <v>1</v>
      </c>
      <c r="Y29" s="93">
        <f t="shared" si="20"/>
        <v>4790.96367</v>
      </c>
      <c r="Z29" s="102"/>
      <c r="AA29" s="102">
        <v>4790.96367</v>
      </c>
      <c r="AB29" s="102"/>
      <c r="AC29" s="102">
        <f t="shared" si="5"/>
        <v>271825.45689</v>
      </c>
      <c r="AD29" s="102">
        <f t="shared" si="6"/>
        <v>220777.45688999997</v>
      </c>
      <c r="AE29" s="102">
        <f t="shared" si="7"/>
        <v>30961</v>
      </c>
      <c r="AF29" s="102">
        <f t="shared" si="21"/>
        <v>20087</v>
      </c>
      <c r="AG29" s="102">
        <f t="shared" si="46"/>
        <v>1004.35</v>
      </c>
      <c r="AH29" s="102">
        <f t="shared" si="39"/>
        <v>5795.3136700000005</v>
      </c>
      <c r="AI29" s="103">
        <f t="shared" si="10"/>
        <v>0</v>
      </c>
      <c r="AJ29" s="95"/>
      <c r="AK29" s="104">
        <f t="shared" si="43"/>
        <v>1.5</v>
      </c>
      <c r="AL29" s="97">
        <f t="shared" si="11"/>
        <v>1.5</v>
      </c>
      <c r="AM29" s="105">
        <v>11278</v>
      </c>
      <c r="AN29" s="96">
        <v>13486.8</v>
      </c>
      <c r="AO29" s="112">
        <f t="shared" si="12"/>
        <v>0.8362250496782039</v>
      </c>
      <c r="AP29" s="95"/>
      <c r="AQ29" s="104">
        <f t="shared" si="44"/>
        <v>1</v>
      </c>
      <c r="AR29" s="106">
        <f t="shared" si="24"/>
        <v>1</v>
      </c>
      <c r="AS29" s="105">
        <v>29893.1</v>
      </c>
      <c r="AT29" s="96">
        <v>33826.9</v>
      </c>
      <c r="AU29" s="103">
        <f t="shared" si="25"/>
        <v>0.8837079365830152</v>
      </c>
      <c r="AV29" s="95"/>
      <c r="AW29" s="104">
        <f t="shared" si="45"/>
        <v>1</v>
      </c>
      <c r="AX29" s="106">
        <f t="shared" si="13"/>
        <v>1</v>
      </c>
      <c r="AY29" s="118"/>
      <c r="AZ29" s="119"/>
      <c r="BA29" s="120">
        <f t="shared" si="27"/>
        <v>0</v>
      </c>
      <c r="BB29" s="107">
        <f t="shared" si="38"/>
        <v>6.5</v>
      </c>
      <c r="BC29" s="70"/>
      <c r="BD29" s="90">
        <v>50833.50774</v>
      </c>
      <c r="BE29" s="69"/>
      <c r="BF29" s="82">
        <f t="shared" si="14"/>
        <v>0.8533671027107317</v>
      </c>
      <c r="BG29" s="69">
        <f t="shared" si="28"/>
        <v>0</v>
      </c>
      <c r="BH29" s="84">
        <f t="shared" si="29"/>
        <v>0</v>
      </c>
      <c r="BI29" s="84">
        <f t="shared" si="30"/>
        <v>0</v>
      </c>
      <c r="BJ29" s="84">
        <f t="shared" si="31"/>
        <v>1</v>
      </c>
      <c r="BK29" s="69">
        <f t="shared" si="32"/>
        <v>0</v>
      </c>
      <c r="BM29" s="82">
        <f t="shared" si="15"/>
        <v>0.5970909370371723</v>
      </c>
      <c r="BN29" s="69">
        <f t="shared" si="33"/>
        <v>0</v>
      </c>
      <c r="BO29" s="84">
        <f t="shared" si="34"/>
        <v>0</v>
      </c>
      <c r="BP29" s="84">
        <f t="shared" si="35"/>
        <v>0</v>
      </c>
      <c r="BQ29" s="84">
        <f t="shared" si="36"/>
        <v>1</v>
      </c>
      <c r="BR29" s="69">
        <f t="shared" si="37"/>
        <v>0</v>
      </c>
    </row>
    <row r="30" spans="1:70" s="81" customFormat="1" ht="12.75">
      <c r="A30" s="92" t="s">
        <v>101</v>
      </c>
      <c r="B30" s="93">
        <v>0</v>
      </c>
      <c r="C30" s="93">
        <v>0</v>
      </c>
      <c r="D30" s="93">
        <v>0</v>
      </c>
      <c r="E30" s="94">
        <f t="shared" si="16"/>
        <v>0</v>
      </c>
      <c r="F30" s="95"/>
      <c r="G30" s="96">
        <f t="shared" si="47"/>
        <v>1</v>
      </c>
      <c r="H30" s="97">
        <f t="shared" si="0"/>
        <v>1</v>
      </c>
      <c r="I30" s="93">
        <v>0</v>
      </c>
      <c r="J30" s="98">
        <v>327145.93174</v>
      </c>
      <c r="K30" s="99">
        <v>242006.03174</v>
      </c>
      <c r="L30" s="93">
        <v>44942</v>
      </c>
      <c r="M30" s="93">
        <v>0</v>
      </c>
      <c r="N30" s="94">
        <f t="shared" si="18"/>
        <v>0</v>
      </c>
      <c r="O30" s="95"/>
      <c r="P30" s="96">
        <f t="shared" si="49"/>
        <v>1</v>
      </c>
      <c r="Q30" s="97">
        <f t="shared" si="2"/>
        <v>1</v>
      </c>
      <c r="R30" s="100">
        <v>0</v>
      </c>
      <c r="S30" s="93">
        <v>327200.37934</v>
      </c>
      <c r="T30" s="101">
        <v>124478.91025</v>
      </c>
      <c r="U30" s="94">
        <f t="shared" si="3"/>
        <v>0</v>
      </c>
      <c r="V30" s="95"/>
      <c r="W30" s="96">
        <f t="shared" si="48"/>
        <v>1</v>
      </c>
      <c r="X30" s="97">
        <f t="shared" si="19"/>
        <v>1</v>
      </c>
      <c r="Y30" s="93">
        <f t="shared" si="20"/>
        <v>0</v>
      </c>
      <c r="Z30" s="102"/>
      <c r="AA30" s="102">
        <v>0</v>
      </c>
      <c r="AB30" s="102"/>
      <c r="AC30" s="102">
        <f t="shared" si="5"/>
        <v>327145.93174</v>
      </c>
      <c r="AD30" s="102">
        <f t="shared" si="6"/>
        <v>242006.03174</v>
      </c>
      <c r="AE30" s="102">
        <f t="shared" si="7"/>
        <v>44942</v>
      </c>
      <c r="AF30" s="102">
        <f t="shared" si="21"/>
        <v>40197.90000000002</v>
      </c>
      <c r="AG30" s="102">
        <f t="shared" si="46"/>
        <v>2009.8950000000013</v>
      </c>
      <c r="AH30" s="102">
        <f t="shared" si="39"/>
        <v>2009.8950000000013</v>
      </c>
      <c r="AI30" s="103">
        <f t="shared" si="10"/>
        <v>0</v>
      </c>
      <c r="AJ30" s="95"/>
      <c r="AK30" s="104">
        <f t="shared" si="43"/>
        <v>1.5</v>
      </c>
      <c r="AL30" s="97">
        <f t="shared" si="11"/>
        <v>1.5</v>
      </c>
      <c r="AM30" s="105">
        <v>13348.2</v>
      </c>
      <c r="AN30" s="96">
        <v>15096.2</v>
      </c>
      <c r="AO30" s="112">
        <f t="shared" si="12"/>
        <v>0.8842092712073237</v>
      </c>
      <c r="AP30" s="95"/>
      <c r="AQ30" s="104">
        <f t="shared" si="44"/>
        <v>1</v>
      </c>
      <c r="AR30" s="106">
        <f t="shared" si="24"/>
        <v>1</v>
      </c>
      <c r="AS30" s="105">
        <v>32005.5</v>
      </c>
      <c r="AT30" s="96">
        <v>37466.9</v>
      </c>
      <c r="AU30" s="103">
        <f t="shared" si="25"/>
        <v>0.8542340038807588</v>
      </c>
      <c r="AV30" s="95"/>
      <c r="AW30" s="104">
        <f t="shared" si="45"/>
        <v>1</v>
      </c>
      <c r="AX30" s="106">
        <f t="shared" si="13"/>
        <v>1</v>
      </c>
      <c r="AY30" s="118"/>
      <c r="AZ30" s="119"/>
      <c r="BA30" s="120">
        <f t="shared" si="27"/>
        <v>0</v>
      </c>
      <c r="BB30" s="107">
        <f t="shared" si="38"/>
        <v>6.5</v>
      </c>
      <c r="BC30" s="70"/>
      <c r="BD30" s="90">
        <v>44476.896</v>
      </c>
      <c r="BE30" s="69"/>
      <c r="BF30" s="82">
        <f t="shared" si="14"/>
        <v>0.8016554459405056</v>
      </c>
      <c r="BG30" s="69">
        <f t="shared" si="28"/>
        <v>0</v>
      </c>
      <c r="BH30" s="84">
        <f t="shared" si="29"/>
        <v>0</v>
      </c>
      <c r="BI30" s="84">
        <f t="shared" si="30"/>
        <v>0</v>
      </c>
      <c r="BJ30" s="84">
        <f t="shared" si="31"/>
        <v>1</v>
      </c>
      <c r="BK30" s="69">
        <f t="shared" si="32"/>
        <v>0</v>
      </c>
      <c r="BM30" s="82">
        <f t="shared" si="15"/>
        <v>0.4412108854346197</v>
      </c>
      <c r="BN30" s="69">
        <f t="shared" si="33"/>
        <v>0</v>
      </c>
      <c r="BO30" s="84">
        <f t="shared" si="34"/>
        <v>0</v>
      </c>
      <c r="BP30" s="84">
        <f t="shared" si="35"/>
        <v>1</v>
      </c>
      <c r="BQ30" s="84">
        <f t="shared" si="36"/>
        <v>0</v>
      </c>
      <c r="BR30" s="69">
        <f t="shared" si="37"/>
        <v>0</v>
      </c>
    </row>
    <row r="31" spans="1:70" s="81" customFormat="1" ht="12.75">
      <c r="A31" s="92" t="s">
        <v>102</v>
      </c>
      <c r="B31" s="93">
        <v>0</v>
      </c>
      <c r="C31" s="93">
        <v>0</v>
      </c>
      <c r="D31" s="93">
        <v>0</v>
      </c>
      <c r="E31" s="94">
        <f t="shared" si="16"/>
        <v>0</v>
      </c>
      <c r="F31" s="95"/>
      <c r="G31" s="96">
        <f t="shared" si="47"/>
        <v>1</v>
      </c>
      <c r="H31" s="97">
        <f t="shared" si="0"/>
        <v>1</v>
      </c>
      <c r="I31" s="93">
        <v>0</v>
      </c>
      <c r="J31" s="98">
        <v>477135.09715</v>
      </c>
      <c r="K31" s="99">
        <v>366007.99714999995</v>
      </c>
      <c r="L31" s="93">
        <v>76756</v>
      </c>
      <c r="M31" s="93">
        <v>0</v>
      </c>
      <c r="N31" s="94">
        <f t="shared" si="18"/>
        <v>0</v>
      </c>
      <c r="O31" s="95"/>
      <c r="P31" s="96">
        <f>IF(N31&lt;=0.5,1,0)</f>
        <v>1</v>
      </c>
      <c r="Q31" s="97">
        <f>O31+P31</f>
        <v>1</v>
      </c>
      <c r="R31" s="100">
        <v>0</v>
      </c>
      <c r="S31" s="93">
        <v>556517.86613</v>
      </c>
      <c r="T31" s="101">
        <v>206908.03881</v>
      </c>
      <c r="U31" s="94">
        <f t="shared" si="3"/>
        <v>0</v>
      </c>
      <c r="V31" s="95"/>
      <c r="W31" s="96">
        <f t="shared" si="48"/>
        <v>1</v>
      </c>
      <c r="X31" s="97">
        <f t="shared" si="19"/>
        <v>1</v>
      </c>
      <c r="Y31" s="93">
        <f t="shared" si="20"/>
        <v>0</v>
      </c>
      <c r="Z31" s="102"/>
      <c r="AA31" s="102">
        <v>0</v>
      </c>
      <c r="AB31" s="102"/>
      <c r="AC31" s="102">
        <f t="shared" si="5"/>
        <v>477135.09715</v>
      </c>
      <c r="AD31" s="102">
        <f t="shared" si="6"/>
        <v>366007.99714999995</v>
      </c>
      <c r="AE31" s="102">
        <f t="shared" si="7"/>
        <v>76756</v>
      </c>
      <c r="AF31" s="102">
        <f t="shared" si="21"/>
        <v>34371.100000000035</v>
      </c>
      <c r="AG31" s="102">
        <f>AF31*10%</f>
        <v>3437.1100000000038</v>
      </c>
      <c r="AH31" s="102">
        <f t="shared" si="39"/>
        <v>3437.1100000000038</v>
      </c>
      <c r="AI31" s="103">
        <f t="shared" si="10"/>
        <v>0</v>
      </c>
      <c r="AJ31" s="108"/>
      <c r="AK31" s="104">
        <f t="shared" si="43"/>
        <v>1.5</v>
      </c>
      <c r="AL31" s="97">
        <f t="shared" si="11"/>
        <v>1.5</v>
      </c>
      <c r="AM31" s="105">
        <v>16101.9</v>
      </c>
      <c r="AN31" s="96">
        <v>17840.7</v>
      </c>
      <c r="AO31" s="112">
        <f t="shared" si="12"/>
        <v>0.9025374564899359</v>
      </c>
      <c r="AP31" s="108"/>
      <c r="AQ31" s="104">
        <f t="shared" si="44"/>
        <v>1</v>
      </c>
      <c r="AR31" s="106">
        <f t="shared" si="24"/>
        <v>1</v>
      </c>
      <c r="AS31" s="105">
        <v>37454</v>
      </c>
      <c r="AT31" s="96">
        <v>42505.2</v>
      </c>
      <c r="AU31" s="103">
        <f t="shared" si="25"/>
        <v>0.8811627753780714</v>
      </c>
      <c r="AV31" s="108"/>
      <c r="AW31" s="104">
        <f t="shared" si="45"/>
        <v>1</v>
      </c>
      <c r="AX31" s="106">
        <f t="shared" si="13"/>
        <v>1</v>
      </c>
      <c r="AY31" s="118"/>
      <c r="AZ31" s="119"/>
      <c r="BA31" s="120">
        <f t="shared" si="27"/>
        <v>0</v>
      </c>
      <c r="BB31" s="107">
        <f t="shared" si="38"/>
        <v>6.5</v>
      </c>
      <c r="BC31" s="70"/>
      <c r="BD31" s="90">
        <v>32919.397</v>
      </c>
      <c r="BE31" s="69"/>
      <c r="BF31" s="82">
        <f t="shared" si="14"/>
        <v>0.8728065937913801</v>
      </c>
      <c r="BG31" s="69">
        <f t="shared" si="28"/>
        <v>0</v>
      </c>
      <c r="BH31" s="84">
        <f t="shared" si="29"/>
        <v>0</v>
      </c>
      <c r="BI31" s="84">
        <f t="shared" si="30"/>
        <v>0</v>
      </c>
      <c r="BJ31" s="84">
        <f t="shared" si="31"/>
        <v>1</v>
      </c>
      <c r="BK31" s="69">
        <f t="shared" si="32"/>
        <v>0</v>
      </c>
      <c r="BM31" s="82">
        <f t="shared" si="15"/>
        <v>0.4058638600950401</v>
      </c>
      <c r="BN31" s="69">
        <f t="shared" si="33"/>
        <v>0</v>
      </c>
      <c r="BO31" s="84">
        <f t="shared" si="34"/>
        <v>0</v>
      </c>
      <c r="BP31" s="84">
        <f t="shared" si="35"/>
        <v>1</v>
      </c>
      <c r="BQ31" s="84">
        <f t="shared" si="36"/>
        <v>0</v>
      </c>
      <c r="BR31" s="69">
        <f t="shared" si="37"/>
        <v>0</v>
      </c>
    </row>
    <row r="32" spans="1:70" s="81" customFormat="1" ht="12.75">
      <c r="A32" s="92" t="s">
        <v>103</v>
      </c>
      <c r="B32" s="93">
        <v>0</v>
      </c>
      <c r="C32" s="93">
        <v>10364.67915</v>
      </c>
      <c r="D32" s="93">
        <v>0</v>
      </c>
      <c r="E32" s="94">
        <f t="shared" si="16"/>
        <v>0</v>
      </c>
      <c r="F32" s="95"/>
      <c r="G32" s="96">
        <f t="shared" si="47"/>
        <v>1</v>
      </c>
      <c r="H32" s="97">
        <f t="shared" si="0"/>
        <v>1</v>
      </c>
      <c r="I32" s="93">
        <v>0</v>
      </c>
      <c r="J32" s="98">
        <v>541670.4034500001</v>
      </c>
      <c r="K32" s="99">
        <v>367681.40345</v>
      </c>
      <c r="L32" s="93">
        <v>128917</v>
      </c>
      <c r="M32" s="93">
        <v>0</v>
      </c>
      <c r="N32" s="94">
        <f t="shared" si="18"/>
        <v>0</v>
      </c>
      <c r="O32" s="95"/>
      <c r="P32" s="96">
        <f t="shared" si="49"/>
        <v>1</v>
      </c>
      <c r="Q32" s="97">
        <f t="shared" si="2"/>
        <v>1</v>
      </c>
      <c r="R32" s="100">
        <v>0</v>
      </c>
      <c r="S32" s="93">
        <v>577347.88848</v>
      </c>
      <c r="T32" s="101">
        <v>256088.478</v>
      </c>
      <c r="U32" s="94">
        <f t="shared" si="3"/>
        <v>0</v>
      </c>
      <c r="V32" s="95"/>
      <c r="W32" s="96">
        <f t="shared" si="48"/>
        <v>1</v>
      </c>
      <c r="X32" s="97">
        <f t="shared" si="19"/>
        <v>1</v>
      </c>
      <c r="Y32" s="93">
        <f t="shared" si="20"/>
        <v>10364.67915</v>
      </c>
      <c r="Z32" s="102"/>
      <c r="AA32" s="102">
        <v>10364.67915</v>
      </c>
      <c r="AB32" s="102"/>
      <c r="AC32" s="102">
        <f t="shared" si="5"/>
        <v>541670.4034500001</v>
      </c>
      <c r="AD32" s="102">
        <f t="shared" si="6"/>
        <v>367681.40345</v>
      </c>
      <c r="AE32" s="102">
        <f t="shared" si="7"/>
        <v>128917</v>
      </c>
      <c r="AF32" s="102">
        <f t="shared" si="21"/>
        <v>45072.00000000012</v>
      </c>
      <c r="AG32" s="102">
        <f t="shared" si="46"/>
        <v>2253.600000000006</v>
      </c>
      <c r="AH32" s="102">
        <f t="shared" si="39"/>
        <v>12618.279150000006</v>
      </c>
      <c r="AI32" s="103">
        <f t="shared" si="10"/>
        <v>0</v>
      </c>
      <c r="AJ32" s="95"/>
      <c r="AK32" s="104">
        <f t="shared" si="43"/>
        <v>1.5</v>
      </c>
      <c r="AL32" s="97">
        <f t="shared" si="11"/>
        <v>1.5</v>
      </c>
      <c r="AM32" s="105">
        <v>17275.3</v>
      </c>
      <c r="AN32" s="96">
        <v>17840.7</v>
      </c>
      <c r="AO32" s="112">
        <f>AM32/AN32</f>
        <v>0.9683084183916549</v>
      </c>
      <c r="AP32" s="95"/>
      <c r="AQ32" s="104">
        <f t="shared" si="44"/>
        <v>1</v>
      </c>
      <c r="AR32" s="106">
        <f t="shared" si="24"/>
        <v>1</v>
      </c>
      <c r="AS32" s="105">
        <v>42453.9</v>
      </c>
      <c r="AT32" s="96">
        <v>42505.2</v>
      </c>
      <c r="AU32" s="103">
        <f t="shared" si="25"/>
        <v>0.9987930888456001</v>
      </c>
      <c r="AV32" s="95"/>
      <c r="AW32" s="104">
        <f t="shared" si="45"/>
        <v>1</v>
      </c>
      <c r="AX32" s="106">
        <f t="shared" si="13"/>
        <v>1</v>
      </c>
      <c r="AY32" s="118"/>
      <c r="AZ32" s="119"/>
      <c r="BA32" s="120">
        <f t="shared" si="27"/>
        <v>0</v>
      </c>
      <c r="BB32" s="107">
        <f t="shared" si="38"/>
        <v>6.5</v>
      </c>
      <c r="BC32" s="70"/>
      <c r="BD32" s="90">
        <v>65081.66259000001</v>
      </c>
      <c r="BE32" s="69"/>
      <c r="BF32" s="82">
        <f t="shared" si="14"/>
        <v>0.8421748857916033</v>
      </c>
      <c r="BG32" s="69">
        <f t="shared" si="28"/>
        <v>0</v>
      </c>
      <c r="BH32" s="84">
        <f t="shared" si="29"/>
        <v>0</v>
      </c>
      <c r="BI32" s="84">
        <f t="shared" si="30"/>
        <v>0</v>
      </c>
      <c r="BJ32" s="84">
        <f t="shared" si="31"/>
        <v>1</v>
      </c>
      <c r="BK32" s="69">
        <f t="shared" si="32"/>
        <v>0</v>
      </c>
      <c r="BM32" s="82">
        <f t="shared" si="15"/>
        <v>0.6793100168517684</v>
      </c>
      <c r="BN32" s="69">
        <f t="shared" si="33"/>
        <v>0</v>
      </c>
      <c r="BO32" s="84">
        <f t="shared" si="34"/>
        <v>0</v>
      </c>
      <c r="BP32" s="84">
        <f t="shared" si="35"/>
        <v>0</v>
      </c>
      <c r="BQ32" s="84">
        <f t="shared" si="36"/>
        <v>1</v>
      </c>
      <c r="BR32" s="69">
        <f t="shared" si="37"/>
        <v>0</v>
      </c>
    </row>
    <row r="33" spans="1:70" s="81" customFormat="1" ht="12.75">
      <c r="A33" s="92" t="s">
        <v>104</v>
      </c>
      <c r="B33" s="93">
        <v>0</v>
      </c>
      <c r="C33" s="93">
        <v>30696.04414</v>
      </c>
      <c r="D33" s="93">
        <v>0</v>
      </c>
      <c r="E33" s="94">
        <f>IF(AND(B33=0,D33=0),0,B33/(IF(C33&gt;0,C33,0)+D33))</f>
        <v>0</v>
      </c>
      <c r="F33" s="95"/>
      <c r="G33" s="96">
        <f t="shared" si="47"/>
        <v>1</v>
      </c>
      <c r="H33" s="97">
        <f>F33+G33</f>
        <v>1</v>
      </c>
      <c r="I33" s="93">
        <v>0</v>
      </c>
      <c r="J33" s="98">
        <v>1009169.3246599999</v>
      </c>
      <c r="K33" s="99">
        <v>836609.3246599999</v>
      </c>
      <c r="L33" s="93">
        <v>111875</v>
      </c>
      <c r="M33" s="93">
        <v>0</v>
      </c>
      <c r="N33" s="94">
        <f>(I33-M33)/(J33-K33-L33)</f>
        <v>0</v>
      </c>
      <c r="O33" s="95"/>
      <c r="P33" s="96">
        <f t="shared" si="49"/>
        <v>1</v>
      </c>
      <c r="Q33" s="97">
        <f>O33+P33</f>
        <v>1</v>
      </c>
      <c r="R33" s="100">
        <v>0</v>
      </c>
      <c r="S33" s="93">
        <v>1039865.3687999999</v>
      </c>
      <c r="T33" s="101">
        <v>345982.52401999995</v>
      </c>
      <c r="U33" s="94">
        <f>R33/(S33-T33)</f>
        <v>0</v>
      </c>
      <c r="V33" s="95"/>
      <c r="W33" s="96">
        <f t="shared" si="48"/>
        <v>1</v>
      </c>
      <c r="X33" s="97">
        <f t="shared" si="19"/>
        <v>1</v>
      </c>
      <c r="Y33" s="93">
        <f t="shared" si="20"/>
        <v>30696.04414</v>
      </c>
      <c r="Z33" s="102"/>
      <c r="AA33" s="102">
        <v>30696.04414</v>
      </c>
      <c r="AB33" s="102"/>
      <c r="AC33" s="102">
        <f t="shared" si="5"/>
        <v>1009169.3246599999</v>
      </c>
      <c r="AD33" s="102">
        <f t="shared" si="6"/>
        <v>836609.3246599999</v>
      </c>
      <c r="AE33" s="102">
        <f t="shared" si="7"/>
        <v>111875</v>
      </c>
      <c r="AF33" s="102">
        <f>AC33-AD33-AE33</f>
        <v>60685</v>
      </c>
      <c r="AG33" s="102">
        <f>AF33*10%</f>
        <v>6068.5</v>
      </c>
      <c r="AH33" s="102">
        <f>IF(AA33&gt;0,AA33,0)+AG33+IF(AB33&gt;0,AB33,0)</f>
        <v>36764.54414</v>
      </c>
      <c r="AI33" s="103">
        <f t="shared" si="10"/>
        <v>0</v>
      </c>
      <c r="AJ33" s="108"/>
      <c r="AK33" s="104">
        <f t="shared" si="43"/>
        <v>1.5</v>
      </c>
      <c r="AL33" s="97">
        <f>AJ33+AK33</f>
        <v>1.5</v>
      </c>
      <c r="AM33" s="105">
        <v>20197.1</v>
      </c>
      <c r="AN33" s="96">
        <v>21499.3</v>
      </c>
      <c r="AO33" s="112">
        <f>AM33/AN33</f>
        <v>0.939430586112106</v>
      </c>
      <c r="AP33" s="108"/>
      <c r="AQ33" s="104">
        <f t="shared" si="44"/>
        <v>1</v>
      </c>
      <c r="AR33" s="106">
        <f>AP33+AQ33</f>
        <v>1</v>
      </c>
      <c r="AS33" s="105">
        <v>45344.4</v>
      </c>
      <c r="AT33" s="96">
        <v>49346.9</v>
      </c>
      <c r="AU33" s="103">
        <f t="shared" si="25"/>
        <v>0.9188905483424491</v>
      </c>
      <c r="AV33" s="108"/>
      <c r="AW33" s="104">
        <f t="shared" si="45"/>
        <v>1</v>
      </c>
      <c r="AX33" s="106">
        <f t="shared" si="13"/>
        <v>1</v>
      </c>
      <c r="AY33" s="118"/>
      <c r="AZ33" s="119"/>
      <c r="BA33" s="120">
        <f t="shared" si="27"/>
        <v>0</v>
      </c>
      <c r="BB33" s="107">
        <f t="shared" si="38"/>
        <v>6.5</v>
      </c>
      <c r="BC33" s="70"/>
      <c r="BD33" s="90">
        <v>83110.524</v>
      </c>
      <c r="BE33" s="69"/>
      <c r="BF33" s="82">
        <f t="shared" si="14"/>
        <v>0.9084948615662485</v>
      </c>
      <c r="BG33" s="69">
        <f t="shared" si="28"/>
        <v>0</v>
      </c>
      <c r="BH33" s="84">
        <f t="shared" si="29"/>
        <v>0</v>
      </c>
      <c r="BI33" s="84">
        <f t="shared" si="30"/>
        <v>0</v>
      </c>
      <c r="BJ33" s="84">
        <f t="shared" si="31"/>
        <v>0</v>
      </c>
      <c r="BK33" s="69">
        <f t="shared" si="32"/>
        <v>1</v>
      </c>
      <c r="BM33" s="82">
        <f t="shared" si="15"/>
        <v>0.29401297464278797</v>
      </c>
      <c r="BN33" s="69">
        <f t="shared" si="33"/>
        <v>0</v>
      </c>
      <c r="BO33" s="84">
        <f t="shared" si="34"/>
        <v>0</v>
      </c>
      <c r="BP33" s="84">
        <f t="shared" si="35"/>
        <v>1</v>
      </c>
      <c r="BQ33" s="84">
        <f t="shared" si="36"/>
        <v>0</v>
      </c>
      <c r="BR33" s="69">
        <f t="shared" si="37"/>
        <v>0</v>
      </c>
    </row>
    <row r="34" spans="1:70" s="81" customFormat="1" ht="12.75">
      <c r="A34" s="92" t="s">
        <v>105</v>
      </c>
      <c r="B34" s="93">
        <v>0</v>
      </c>
      <c r="C34" s="93">
        <v>6271.22732</v>
      </c>
      <c r="D34" s="93">
        <v>0</v>
      </c>
      <c r="E34" s="94">
        <f t="shared" si="16"/>
        <v>0</v>
      </c>
      <c r="F34" s="95"/>
      <c r="G34" s="96">
        <f t="shared" si="47"/>
        <v>1</v>
      </c>
      <c r="H34" s="97">
        <f t="shared" si="0"/>
        <v>1</v>
      </c>
      <c r="I34" s="93">
        <v>0</v>
      </c>
      <c r="J34" s="98">
        <v>193774.77964</v>
      </c>
      <c r="K34" s="99">
        <v>146633.77964</v>
      </c>
      <c r="L34" s="93">
        <v>23832</v>
      </c>
      <c r="M34" s="93">
        <v>0</v>
      </c>
      <c r="N34" s="94">
        <f t="shared" si="18"/>
        <v>0</v>
      </c>
      <c r="O34" s="95"/>
      <c r="P34" s="96">
        <f t="shared" si="49"/>
        <v>1</v>
      </c>
      <c r="Q34" s="97">
        <f t="shared" si="2"/>
        <v>1</v>
      </c>
      <c r="R34" s="100">
        <v>0</v>
      </c>
      <c r="S34" s="93">
        <v>200046.00696</v>
      </c>
      <c r="T34" s="101">
        <v>73474.94705</v>
      </c>
      <c r="U34" s="94">
        <f t="shared" si="3"/>
        <v>0</v>
      </c>
      <c r="V34" s="95"/>
      <c r="W34" s="96">
        <f t="shared" si="48"/>
        <v>1</v>
      </c>
      <c r="X34" s="97">
        <f t="shared" si="19"/>
        <v>1</v>
      </c>
      <c r="Y34" s="93">
        <f t="shared" si="20"/>
        <v>6271.22732</v>
      </c>
      <c r="Z34" s="102"/>
      <c r="AA34" s="102">
        <v>6271.22732</v>
      </c>
      <c r="AB34" s="102"/>
      <c r="AC34" s="102">
        <f t="shared" si="5"/>
        <v>193774.77964</v>
      </c>
      <c r="AD34" s="102">
        <f t="shared" si="6"/>
        <v>146633.77964</v>
      </c>
      <c r="AE34" s="102">
        <f t="shared" si="7"/>
        <v>23832</v>
      </c>
      <c r="AF34" s="102">
        <f t="shared" si="21"/>
        <v>23309</v>
      </c>
      <c r="AG34" s="102">
        <f aca="true" t="shared" si="50" ref="AG34:AG39">AF34*5%</f>
        <v>1165.45</v>
      </c>
      <c r="AH34" s="102">
        <f t="shared" si="39"/>
        <v>7436.67732</v>
      </c>
      <c r="AI34" s="103">
        <f t="shared" si="10"/>
        <v>0</v>
      </c>
      <c r="AJ34" s="108"/>
      <c r="AK34" s="104">
        <f t="shared" si="43"/>
        <v>1.5</v>
      </c>
      <c r="AL34" s="97">
        <f t="shared" si="11"/>
        <v>1.5</v>
      </c>
      <c r="AM34" s="105">
        <v>9397</v>
      </c>
      <c r="AN34" s="96">
        <v>12371.1</v>
      </c>
      <c r="AO34" s="112">
        <f t="shared" si="12"/>
        <v>0.7595929222138694</v>
      </c>
      <c r="AP34" s="108"/>
      <c r="AQ34" s="104">
        <f t="shared" si="44"/>
        <v>1</v>
      </c>
      <c r="AR34" s="106">
        <f>AP34+AQ34</f>
        <v>1</v>
      </c>
      <c r="AS34" s="105">
        <v>26300.1</v>
      </c>
      <c r="AT34" s="96">
        <v>31333.4</v>
      </c>
      <c r="AU34" s="103">
        <f t="shared" si="25"/>
        <v>0.8393631077380685</v>
      </c>
      <c r="AV34" s="108"/>
      <c r="AW34" s="104">
        <f t="shared" si="45"/>
        <v>1</v>
      </c>
      <c r="AX34" s="106">
        <f t="shared" si="13"/>
        <v>1</v>
      </c>
      <c r="AY34" s="118"/>
      <c r="AZ34" s="119"/>
      <c r="BA34" s="120">
        <f t="shared" si="27"/>
        <v>0</v>
      </c>
      <c r="BB34" s="107">
        <f t="shared" si="38"/>
        <v>6.5</v>
      </c>
      <c r="BC34" s="70"/>
      <c r="BD34" s="90">
        <v>14925.824</v>
      </c>
      <c r="BE34" s="69"/>
      <c r="BF34" s="82">
        <f t="shared" si="14"/>
        <v>0.8062424568832062</v>
      </c>
      <c r="BG34" s="69">
        <f t="shared" si="28"/>
        <v>0</v>
      </c>
      <c r="BH34" s="84">
        <f t="shared" si="29"/>
        <v>0</v>
      </c>
      <c r="BI34" s="84">
        <f t="shared" si="30"/>
        <v>0</v>
      </c>
      <c r="BJ34" s="84">
        <f t="shared" si="31"/>
        <v>1</v>
      </c>
      <c r="BK34" s="69">
        <f t="shared" si="32"/>
        <v>0</v>
      </c>
      <c r="BM34" s="82">
        <f t="shared" si="15"/>
        <v>0.32217687394539046</v>
      </c>
      <c r="BN34" s="69">
        <f t="shared" si="33"/>
        <v>0</v>
      </c>
      <c r="BO34" s="84">
        <f t="shared" si="34"/>
        <v>0</v>
      </c>
      <c r="BP34" s="84">
        <f t="shared" si="35"/>
        <v>1</v>
      </c>
      <c r="BQ34" s="84">
        <f t="shared" si="36"/>
        <v>0</v>
      </c>
      <c r="BR34" s="69">
        <f t="shared" si="37"/>
        <v>0</v>
      </c>
    </row>
    <row r="35" spans="1:70" s="81" customFormat="1" ht="12.75">
      <c r="A35" s="92" t="s">
        <v>106</v>
      </c>
      <c r="B35" s="93">
        <v>0</v>
      </c>
      <c r="C35" s="93">
        <v>0</v>
      </c>
      <c r="D35" s="93">
        <v>0</v>
      </c>
      <c r="E35" s="94">
        <f>IF(AND(B35=0,D35=0),0,B35/(IF(C35&gt;0,C35,0)+D35))</f>
        <v>0</v>
      </c>
      <c r="F35" s="95"/>
      <c r="G35" s="96">
        <f>IF(E35&lt;=1.05,1,0)</f>
        <v>1</v>
      </c>
      <c r="H35" s="97">
        <f>F35+G35</f>
        <v>1</v>
      </c>
      <c r="I35" s="93">
        <v>0</v>
      </c>
      <c r="J35" s="98">
        <v>314722.27561</v>
      </c>
      <c r="K35" s="99">
        <v>202889.24216999998</v>
      </c>
      <c r="L35" s="93">
        <v>46492</v>
      </c>
      <c r="M35" s="93">
        <v>0</v>
      </c>
      <c r="N35" s="94">
        <f>(I35-M35)/(J35-K35-L35)</f>
        <v>0</v>
      </c>
      <c r="O35" s="95"/>
      <c r="P35" s="96">
        <f>IF(N35&lt;=0.5,1,0)</f>
        <v>1</v>
      </c>
      <c r="Q35" s="97">
        <f>O35+P35</f>
        <v>1</v>
      </c>
      <c r="R35" s="100">
        <v>0</v>
      </c>
      <c r="S35" s="93">
        <v>328780.81329</v>
      </c>
      <c r="T35" s="101">
        <v>136655.24835000004</v>
      </c>
      <c r="U35" s="94">
        <f>R35/(S35-T35)</f>
        <v>0</v>
      </c>
      <c r="V35" s="95"/>
      <c r="W35" s="96">
        <f>IF(U35&lt;=0.15,1,0)</f>
        <v>1</v>
      </c>
      <c r="X35" s="97">
        <f>V35+W35</f>
        <v>1</v>
      </c>
      <c r="Y35" s="93">
        <f t="shared" si="20"/>
        <v>0</v>
      </c>
      <c r="Z35" s="102"/>
      <c r="AA35" s="102">
        <v>0</v>
      </c>
      <c r="AB35" s="102"/>
      <c r="AC35" s="102">
        <f>J35</f>
        <v>314722.27561</v>
      </c>
      <c r="AD35" s="102">
        <f>K35</f>
        <v>202889.24216999998</v>
      </c>
      <c r="AE35" s="102">
        <f>L35</f>
        <v>46492</v>
      </c>
      <c r="AF35" s="102">
        <f>AC35-AD35-AE35</f>
        <v>65341.03344000003</v>
      </c>
      <c r="AG35" s="102">
        <f>AF35*5%</f>
        <v>3267.0516720000014</v>
      </c>
      <c r="AH35" s="102">
        <f>IF(AA35&gt;0,AA35,0)+AG35+IF(AB35&gt;0,AB35,0)</f>
        <v>3267.0516720000014</v>
      </c>
      <c r="AI35" s="103">
        <f>IF((Y35-IF(Z35&gt;0,Z35,0)-IF(AA35&gt;0,AA35,0)-IF(AB35&gt;0,AB35,0))/(AC35-AD35-AE35)&gt;0,(Y35-IF(Z35&gt;0,Z35,0)-IF(AA35&gt;0,AA35,0)-IF(AB35&gt;0,AB35,0))/(AC35-AD35-AE35),0)</f>
        <v>0</v>
      </c>
      <c r="AJ35" s="108"/>
      <c r="AK35" s="104">
        <f>IF(AI35&lt;=0.05,1.5,0)</f>
        <v>1.5</v>
      </c>
      <c r="AL35" s="97">
        <f>AJ35+AK35</f>
        <v>1.5</v>
      </c>
      <c r="AM35" s="105">
        <v>14256.6</v>
      </c>
      <c r="AN35" s="96">
        <v>15096.2</v>
      </c>
      <c r="AO35" s="112">
        <f>AM35/AN35</f>
        <v>0.9443833547515269</v>
      </c>
      <c r="AP35" s="108"/>
      <c r="AQ35" s="104">
        <f>IF(AO35&lt;=1,1,0)</f>
        <v>1</v>
      </c>
      <c r="AR35" s="106">
        <f>AP35+AQ35</f>
        <v>1</v>
      </c>
      <c r="AS35" s="105">
        <v>33553.9</v>
      </c>
      <c r="AT35" s="96">
        <v>37466.9</v>
      </c>
      <c r="AU35" s="103">
        <f>AS35/AT35</f>
        <v>0.8955611486405334</v>
      </c>
      <c r="AV35" s="108"/>
      <c r="AW35" s="104">
        <f>IF(AU35&lt;=1,1,0)</f>
        <v>1</v>
      </c>
      <c r="AX35" s="106">
        <f>AV35+AW35</f>
        <v>1</v>
      </c>
      <c r="AY35" s="118"/>
      <c r="AZ35" s="119"/>
      <c r="BA35" s="120">
        <f t="shared" si="27"/>
        <v>0</v>
      </c>
      <c r="BB35" s="107">
        <f t="shared" si="38"/>
        <v>6.5</v>
      </c>
      <c r="BC35" s="70"/>
      <c r="BD35" s="90">
        <v>56325.592</v>
      </c>
      <c r="BE35" s="69"/>
      <c r="BF35" s="82">
        <f t="shared" si="14"/>
        <v>0.6330537188976935</v>
      </c>
      <c r="BG35" s="69">
        <f t="shared" si="28"/>
        <v>0</v>
      </c>
      <c r="BH35" s="84">
        <f t="shared" si="29"/>
        <v>0</v>
      </c>
      <c r="BI35" s="84">
        <f t="shared" si="30"/>
        <v>1</v>
      </c>
      <c r="BJ35" s="84">
        <f t="shared" si="31"/>
        <v>0</v>
      </c>
      <c r="BK35" s="69">
        <f t="shared" si="32"/>
        <v>0</v>
      </c>
      <c r="BM35" s="82">
        <f t="shared" si="15"/>
        <v>0.57740949339191</v>
      </c>
      <c r="BN35" s="69">
        <f t="shared" si="33"/>
        <v>0</v>
      </c>
      <c r="BO35" s="84">
        <f t="shared" si="34"/>
        <v>0</v>
      </c>
      <c r="BP35" s="84">
        <f t="shared" si="35"/>
        <v>0</v>
      </c>
      <c r="BQ35" s="84">
        <f t="shared" si="36"/>
        <v>1</v>
      </c>
      <c r="BR35" s="69">
        <f t="shared" si="37"/>
        <v>0</v>
      </c>
    </row>
    <row r="36" spans="1:70" s="81" customFormat="1" ht="12.75">
      <c r="A36" s="58" t="s">
        <v>107</v>
      </c>
      <c r="B36" s="37">
        <v>0</v>
      </c>
      <c r="C36" s="37">
        <v>53972.32759</v>
      </c>
      <c r="D36" s="37">
        <v>10000</v>
      </c>
      <c r="E36" s="59">
        <f t="shared" si="16"/>
        <v>0</v>
      </c>
      <c r="F36" s="36">
        <f>IF(E36&lt;=1.05,1,0)</f>
        <v>1</v>
      </c>
      <c r="G36" s="53"/>
      <c r="H36" s="54">
        <f t="shared" si="0"/>
        <v>1</v>
      </c>
      <c r="I36" s="37">
        <v>30972.775</v>
      </c>
      <c r="J36" s="72">
        <v>743708.74525</v>
      </c>
      <c r="K36" s="91">
        <v>88468.16514</v>
      </c>
      <c r="L36" s="37">
        <v>99617</v>
      </c>
      <c r="M36" s="37">
        <v>0</v>
      </c>
      <c r="N36" s="59">
        <f t="shared" si="18"/>
        <v>0.05574416944987854</v>
      </c>
      <c r="O36" s="36">
        <f>IF(N36&lt;=1,1,0)</f>
        <v>1</v>
      </c>
      <c r="P36" s="53"/>
      <c r="Q36" s="54">
        <f t="shared" si="2"/>
        <v>1</v>
      </c>
      <c r="R36" s="34">
        <v>1879.274</v>
      </c>
      <c r="S36" s="37">
        <v>803619.3220800001</v>
      </c>
      <c r="T36" s="51">
        <v>278990.08219</v>
      </c>
      <c r="U36" s="59">
        <f t="shared" si="3"/>
        <v>0.0035820992371565687</v>
      </c>
      <c r="V36" s="36">
        <f>IF(U36&lt;=0.15,1,0)</f>
        <v>1</v>
      </c>
      <c r="W36" s="53"/>
      <c r="X36" s="54">
        <f t="shared" si="19"/>
        <v>1</v>
      </c>
      <c r="Y36" s="37">
        <f t="shared" si="20"/>
        <v>53972.32759</v>
      </c>
      <c r="Z36" s="35"/>
      <c r="AA36" s="35">
        <v>63972.32759</v>
      </c>
      <c r="AB36" s="35"/>
      <c r="AC36" s="35">
        <f t="shared" si="5"/>
        <v>743708.74525</v>
      </c>
      <c r="AD36" s="35">
        <f t="shared" si="6"/>
        <v>88468.16514</v>
      </c>
      <c r="AE36" s="35">
        <f t="shared" si="7"/>
        <v>99617</v>
      </c>
      <c r="AF36" s="35">
        <f t="shared" si="21"/>
        <v>555623.58011</v>
      </c>
      <c r="AG36" s="35">
        <f t="shared" si="50"/>
        <v>27781.179005500002</v>
      </c>
      <c r="AH36" s="35">
        <f t="shared" si="39"/>
        <v>91753.5065955</v>
      </c>
      <c r="AI36" s="75">
        <f t="shared" si="10"/>
        <v>0</v>
      </c>
      <c r="AJ36" s="33">
        <f>IF(AI36&lt;=0.1,1.5,0)</f>
        <v>1.5</v>
      </c>
      <c r="AK36" s="77"/>
      <c r="AL36" s="54">
        <f t="shared" si="11"/>
        <v>1.5</v>
      </c>
      <c r="AM36" s="55">
        <v>29081</v>
      </c>
      <c r="AN36" s="53">
        <v>29838.8</v>
      </c>
      <c r="AO36" s="113">
        <f t="shared" si="12"/>
        <v>0.9746035363352414</v>
      </c>
      <c r="AP36" s="33">
        <f>IF(AO36&lt;=1,1,0)</f>
        <v>1</v>
      </c>
      <c r="AQ36" s="77"/>
      <c r="AR36" s="78">
        <f t="shared" si="24"/>
        <v>1</v>
      </c>
      <c r="AS36" s="55">
        <v>58604.3</v>
      </c>
      <c r="AT36" s="53">
        <v>68219.8</v>
      </c>
      <c r="AU36" s="75">
        <f t="shared" si="25"/>
        <v>0.8590511845534581</v>
      </c>
      <c r="AV36" s="33">
        <f>IF(AU36&lt;=1,1,0)</f>
        <v>1</v>
      </c>
      <c r="AW36" s="77"/>
      <c r="AX36" s="78">
        <f t="shared" si="13"/>
        <v>1</v>
      </c>
      <c r="AY36" s="118"/>
      <c r="AZ36" s="119"/>
      <c r="BA36" s="120">
        <f t="shared" si="27"/>
        <v>0</v>
      </c>
      <c r="BB36" s="79">
        <f t="shared" si="38"/>
        <v>6.5</v>
      </c>
      <c r="BC36" s="70"/>
      <c r="BD36" s="90">
        <v>19553.02</v>
      </c>
      <c r="BE36" s="69"/>
      <c r="BF36" s="82">
        <f t="shared" si="14"/>
        <v>-0.19561279603324908</v>
      </c>
      <c r="BG36" s="69">
        <f t="shared" si="28"/>
        <v>1</v>
      </c>
      <c r="BH36" s="84">
        <f t="shared" si="29"/>
        <v>0</v>
      </c>
      <c r="BI36" s="84">
        <f t="shared" si="30"/>
        <v>0</v>
      </c>
      <c r="BJ36" s="84">
        <f t="shared" si="31"/>
        <v>0</v>
      </c>
      <c r="BK36" s="69">
        <f t="shared" si="32"/>
        <v>0</v>
      </c>
      <c r="BM36" s="82">
        <f t="shared" si="15"/>
        <v>0.2564347625191328</v>
      </c>
      <c r="BN36" s="69">
        <f t="shared" si="33"/>
        <v>0</v>
      </c>
      <c r="BO36" s="84">
        <f t="shared" si="34"/>
        <v>0</v>
      </c>
      <c r="BP36" s="84">
        <f t="shared" si="35"/>
        <v>1</v>
      </c>
      <c r="BQ36" s="84">
        <f t="shared" si="36"/>
        <v>0</v>
      </c>
      <c r="BR36" s="69">
        <f t="shared" si="37"/>
        <v>0</v>
      </c>
    </row>
    <row r="37" spans="1:70" s="81" customFormat="1" ht="12.75">
      <c r="A37" s="92" t="s">
        <v>108</v>
      </c>
      <c r="B37" s="93">
        <v>0</v>
      </c>
      <c r="C37" s="93">
        <v>8067.06435</v>
      </c>
      <c r="D37" s="93">
        <v>0</v>
      </c>
      <c r="E37" s="94">
        <f t="shared" si="16"/>
        <v>0</v>
      </c>
      <c r="F37" s="95"/>
      <c r="G37" s="96">
        <f t="shared" si="47"/>
        <v>1</v>
      </c>
      <c r="H37" s="97">
        <f t="shared" si="0"/>
        <v>1</v>
      </c>
      <c r="I37" s="93">
        <v>0</v>
      </c>
      <c r="J37" s="98">
        <v>399082.80989</v>
      </c>
      <c r="K37" s="99">
        <v>284554.45989</v>
      </c>
      <c r="L37" s="93">
        <v>71148</v>
      </c>
      <c r="M37" s="93">
        <v>0</v>
      </c>
      <c r="N37" s="94">
        <f t="shared" si="18"/>
        <v>0</v>
      </c>
      <c r="O37" s="95"/>
      <c r="P37" s="96">
        <f t="shared" si="49"/>
        <v>1</v>
      </c>
      <c r="Q37" s="97">
        <f t="shared" si="2"/>
        <v>1</v>
      </c>
      <c r="R37" s="100">
        <v>0</v>
      </c>
      <c r="S37" s="93">
        <v>422875.4283</v>
      </c>
      <c r="T37" s="101">
        <v>144039.77357</v>
      </c>
      <c r="U37" s="94">
        <f t="shared" si="3"/>
        <v>0</v>
      </c>
      <c r="V37" s="95"/>
      <c r="W37" s="96">
        <f t="shared" si="48"/>
        <v>1</v>
      </c>
      <c r="X37" s="97">
        <f t="shared" si="19"/>
        <v>1</v>
      </c>
      <c r="Y37" s="93">
        <f t="shared" si="20"/>
        <v>8067.06435</v>
      </c>
      <c r="Z37" s="102"/>
      <c r="AA37" s="102">
        <v>8067.06435</v>
      </c>
      <c r="AB37" s="102"/>
      <c r="AC37" s="102">
        <f t="shared" si="5"/>
        <v>399082.80989</v>
      </c>
      <c r="AD37" s="102">
        <f t="shared" si="6"/>
        <v>284554.45989</v>
      </c>
      <c r="AE37" s="102">
        <f t="shared" si="7"/>
        <v>71148</v>
      </c>
      <c r="AF37" s="102">
        <f t="shared" si="21"/>
        <v>43380.34999999998</v>
      </c>
      <c r="AG37" s="102">
        <f t="shared" si="50"/>
        <v>2169.017499999999</v>
      </c>
      <c r="AH37" s="102">
        <f t="shared" si="39"/>
        <v>10236.081849999999</v>
      </c>
      <c r="AI37" s="103">
        <f t="shared" si="10"/>
        <v>0</v>
      </c>
      <c r="AJ37" s="95"/>
      <c r="AK37" s="104">
        <f>IF(AI37&lt;=0.05,1.5,0)</f>
        <v>1.5</v>
      </c>
      <c r="AL37" s="97">
        <f t="shared" si="11"/>
        <v>1.5</v>
      </c>
      <c r="AM37" s="105">
        <v>13111.6</v>
      </c>
      <c r="AN37" s="96">
        <v>15096.2</v>
      </c>
      <c r="AO37" s="112">
        <f t="shared" si="12"/>
        <v>0.8685364528821823</v>
      </c>
      <c r="AP37" s="95"/>
      <c r="AQ37" s="104">
        <f>IF(AO37&lt;=1,1,0)</f>
        <v>1</v>
      </c>
      <c r="AR37" s="106">
        <f t="shared" si="24"/>
        <v>1</v>
      </c>
      <c r="AS37" s="105">
        <v>36251</v>
      </c>
      <c r="AT37" s="96">
        <v>37466.9</v>
      </c>
      <c r="AU37" s="103">
        <f t="shared" si="25"/>
        <v>0.96754735513213</v>
      </c>
      <c r="AV37" s="95"/>
      <c r="AW37" s="104">
        <f>IF(AU37&lt;=1,1,0)</f>
        <v>1</v>
      </c>
      <c r="AX37" s="106">
        <f t="shared" si="13"/>
        <v>1</v>
      </c>
      <c r="AY37" s="118"/>
      <c r="AZ37" s="119"/>
      <c r="BA37" s="120">
        <f t="shared" si="27"/>
        <v>0</v>
      </c>
      <c r="BB37" s="107">
        <f t="shared" si="38"/>
        <v>6.5</v>
      </c>
      <c r="BC37" s="70"/>
      <c r="BD37" s="90">
        <v>49196.446</v>
      </c>
      <c r="BE37" s="69"/>
      <c r="BF37" s="82">
        <f t="shared" si="14"/>
        <v>0.8299096865143533</v>
      </c>
      <c r="BG37" s="69">
        <f t="shared" si="28"/>
        <v>0</v>
      </c>
      <c r="BH37" s="84">
        <f t="shared" si="29"/>
        <v>0</v>
      </c>
      <c r="BI37" s="84">
        <f t="shared" si="30"/>
        <v>0</v>
      </c>
      <c r="BJ37" s="84">
        <f t="shared" si="31"/>
        <v>1</v>
      </c>
      <c r="BK37" s="69">
        <f t="shared" si="32"/>
        <v>0</v>
      </c>
      <c r="BM37" s="82">
        <f t="shared" si="15"/>
        <v>0.4718593682714983</v>
      </c>
      <c r="BN37" s="69">
        <f t="shared" si="33"/>
        <v>0</v>
      </c>
      <c r="BO37" s="84">
        <f t="shared" si="34"/>
        <v>0</v>
      </c>
      <c r="BP37" s="84">
        <f t="shared" si="35"/>
        <v>1</v>
      </c>
      <c r="BQ37" s="84">
        <f t="shared" si="36"/>
        <v>0</v>
      </c>
      <c r="BR37" s="69">
        <f t="shared" si="37"/>
        <v>0</v>
      </c>
    </row>
    <row r="38" spans="1:70" s="81" customFormat="1" ht="12.75">
      <c r="A38" s="58" t="s">
        <v>109</v>
      </c>
      <c r="B38" s="37">
        <v>0</v>
      </c>
      <c r="C38" s="37">
        <v>4203.18253</v>
      </c>
      <c r="D38" s="37">
        <v>0</v>
      </c>
      <c r="E38" s="59">
        <f>IF(AND(B38=0,D38=0),0,B38/(IF(C38&gt;0,C38,0)+D38))</f>
        <v>0</v>
      </c>
      <c r="F38" s="36">
        <f>IF(E38&lt;=1.05,1,0)</f>
        <v>1</v>
      </c>
      <c r="G38" s="53"/>
      <c r="H38" s="54">
        <f>F38+G38</f>
        <v>1</v>
      </c>
      <c r="I38" s="37">
        <v>0</v>
      </c>
      <c r="J38" s="72">
        <v>401964.60635</v>
      </c>
      <c r="K38" s="91">
        <v>274659.60635</v>
      </c>
      <c r="L38" s="37">
        <v>81315</v>
      </c>
      <c r="M38" s="37">
        <v>0</v>
      </c>
      <c r="N38" s="59">
        <f>(I38-M38)/(J38-K38-L38)</f>
        <v>0</v>
      </c>
      <c r="O38" s="36">
        <f>IF(N38&lt;=1,1,0)</f>
        <v>1</v>
      </c>
      <c r="P38" s="53"/>
      <c r="Q38" s="54">
        <f>O38+P38</f>
        <v>1</v>
      </c>
      <c r="R38" s="34">
        <v>0</v>
      </c>
      <c r="S38" s="37">
        <v>434214.72948000004</v>
      </c>
      <c r="T38" s="51">
        <v>216585.8748</v>
      </c>
      <c r="U38" s="59">
        <f>R38/(S38-T38)</f>
        <v>0</v>
      </c>
      <c r="V38" s="36">
        <f>IF(U38&lt;=0.15,1,0)</f>
        <v>1</v>
      </c>
      <c r="W38" s="53"/>
      <c r="X38" s="54">
        <f>V38+W38</f>
        <v>1</v>
      </c>
      <c r="Y38" s="37">
        <f>C38</f>
        <v>4203.18253</v>
      </c>
      <c r="Z38" s="35"/>
      <c r="AA38" s="35">
        <v>4203.18253</v>
      </c>
      <c r="AB38" s="35"/>
      <c r="AC38" s="35">
        <f>J38</f>
        <v>401964.60635</v>
      </c>
      <c r="AD38" s="35">
        <f>K38</f>
        <v>274659.60635</v>
      </c>
      <c r="AE38" s="35">
        <f>L38</f>
        <v>81315</v>
      </c>
      <c r="AF38" s="35">
        <f>AC38-AD38-AE38</f>
        <v>45990</v>
      </c>
      <c r="AG38" s="35">
        <f>AF38*5%</f>
        <v>2299.5</v>
      </c>
      <c r="AH38" s="35">
        <f>IF(AA38&gt;0,AA38,0)+AG38+IF(AB38&gt;0,AB38,0)</f>
        <v>6502.68253</v>
      </c>
      <c r="AI38" s="75">
        <f>IF((Y38-IF(Z38&gt;0,Z38,0)-IF(AA38&gt;0,AA38,0)-IF(AB38&gt;0,AB38,0))/(AC38-AD38-AE38)&gt;0,(Y38-IF(Z38&gt;0,Z38,0)-IF(AA38&gt;0,AA38,0)-IF(AB38&gt;0,AB38,0))/(AC38-AD38-AE38),0)</f>
        <v>0</v>
      </c>
      <c r="AJ38" s="33">
        <f>IF(AI38&lt;=0.1,1.5,0)</f>
        <v>1.5</v>
      </c>
      <c r="AK38" s="77"/>
      <c r="AL38" s="54">
        <f>AJ38+AK38</f>
        <v>1.5</v>
      </c>
      <c r="AM38" s="55">
        <v>14403.3</v>
      </c>
      <c r="AN38" s="53">
        <v>17840.7</v>
      </c>
      <c r="AO38" s="113">
        <f>AM38/AN38</f>
        <v>0.8073281877953219</v>
      </c>
      <c r="AP38" s="33">
        <f>IF(AO38&lt;=1,1,0)</f>
        <v>1</v>
      </c>
      <c r="AQ38" s="77"/>
      <c r="AR38" s="78">
        <f>AP38+AQ38</f>
        <v>1</v>
      </c>
      <c r="AS38" s="55">
        <v>40405.6</v>
      </c>
      <c r="AT38" s="53">
        <v>42505.2</v>
      </c>
      <c r="AU38" s="75">
        <f>AS38/AT38</f>
        <v>0.9506036908425323</v>
      </c>
      <c r="AV38" s="33">
        <f>IF(AU38&lt;=1,1,0)</f>
        <v>1</v>
      </c>
      <c r="AW38" s="77"/>
      <c r="AX38" s="78">
        <f>AV38+AW38</f>
        <v>1</v>
      </c>
      <c r="AY38" s="118"/>
      <c r="AZ38" s="119"/>
      <c r="BA38" s="120">
        <f>AZ38</f>
        <v>0</v>
      </c>
      <c r="BB38" s="79">
        <f t="shared" si="38"/>
        <v>6.5</v>
      </c>
      <c r="BC38" s="70"/>
      <c r="BD38" s="90">
        <v>44642.803</v>
      </c>
      <c r="BE38" s="69"/>
      <c r="BF38" s="82">
        <f t="shared" si="14"/>
        <v>0.7519132879189236</v>
      </c>
      <c r="BG38" s="69">
        <f t="shared" si="28"/>
        <v>0</v>
      </c>
      <c r="BH38" s="84">
        <f t="shared" si="29"/>
        <v>0</v>
      </c>
      <c r="BI38" s="84">
        <f t="shared" si="30"/>
        <v>0</v>
      </c>
      <c r="BJ38" s="84">
        <f t="shared" si="31"/>
        <v>1</v>
      </c>
      <c r="BK38" s="69">
        <f t="shared" si="32"/>
        <v>0</v>
      </c>
      <c r="BM38" s="82">
        <f t="shared" si="15"/>
        <v>0.6794619962432253</v>
      </c>
      <c r="BN38" s="69">
        <f t="shared" si="33"/>
        <v>0</v>
      </c>
      <c r="BO38" s="84">
        <f t="shared" si="34"/>
        <v>0</v>
      </c>
      <c r="BP38" s="84">
        <f t="shared" si="35"/>
        <v>0</v>
      </c>
      <c r="BQ38" s="84">
        <f t="shared" si="36"/>
        <v>1</v>
      </c>
      <c r="BR38" s="69">
        <f t="shared" si="37"/>
        <v>0</v>
      </c>
    </row>
    <row r="39" spans="1:70" ht="12.75">
      <c r="A39" s="92" t="s">
        <v>110</v>
      </c>
      <c r="B39" s="93">
        <v>4000</v>
      </c>
      <c r="C39" s="93">
        <v>5127.16582</v>
      </c>
      <c r="D39" s="93">
        <v>4000</v>
      </c>
      <c r="E39" s="94">
        <f t="shared" si="16"/>
        <v>0.4382521451768694</v>
      </c>
      <c r="F39" s="95"/>
      <c r="G39" s="96">
        <f t="shared" si="47"/>
        <v>1</v>
      </c>
      <c r="H39" s="97">
        <f>F39+G39</f>
        <v>1</v>
      </c>
      <c r="I39" s="93">
        <v>4000</v>
      </c>
      <c r="J39" s="98">
        <v>563456.27178</v>
      </c>
      <c r="K39" s="99">
        <v>434460.67178</v>
      </c>
      <c r="L39" s="93">
        <v>77050</v>
      </c>
      <c r="M39" s="93">
        <v>0</v>
      </c>
      <c r="N39" s="94">
        <f t="shared" si="18"/>
        <v>0.07700363457155181</v>
      </c>
      <c r="O39" s="95"/>
      <c r="P39" s="96">
        <f t="shared" si="49"/>
        <v>1</v>
      </c>
      <c r="Q39" s="97">
        <f>O39+P39</f>
        <v>1</v>
      </c>
      <c r="R39" s="100">
        <v>269.11728000000005</v>
      </c>
      <c r="S39" s="93">
        <v>568583.69728</v>
      </c>
      <c r="T39" s="101">
        <v>209117.17377000002</v>
      </c>
      <c r="U39" s="94">
        <f t="shared" si="3"/>
        <v>0.0007486574198125949</v>
      </c>
      <c r="V39" s="95"/>
      <c r="W39" s="96">
        <f t="shared" si="48"/>
        <v>1</v>
      </c>
      <c r="X39" s="97">
        <f t="shared" si="19"/>
        <v>1</v>
      </c>
      <c r="Y39" s="93">
        <f t="shared" si="20"/>
        <v>5127.16582</v>
      </c>
      <c r="Z39" s="102"/>
      <c r="AA39" s="102">
        <v>5127.16582</v>
      </c>
      <c r="AB39" s="102"/>
      <c r="AC39" s="102">
        <f t="shared" si="5"/>
        <v>563456.27178</v>
      </c>
      <c r="AD39" s="102">
        <f t="shared" si="6"/>
        <v>434460.67178</v>
      </c>
      <c r="AE39" s="102">
        <f t="shared" si="7"/>
        <v>77050</v>
      </c>
      <c r="AF39" s="102">
        <f t="shared" si="21"/>
        <v>51945.59999999998</v>
      </c>
      <c r="AG39" s="102">
        <f t="shared" si="50"/>
        <v>2597.279999999999</v>
      </c>
      <c r="AH39" s="102">
        <f t="shared" si="39"/>
        <v>7724.445819999999</v>
      </c>
      <c r="AI39" s="103">
        <f t="shared" si="10"/>
        <v>0</v>
      </c>
      <c r="AJ39" s="108"/>
      <c r="AK39" s="104">
        <f>IF(AI39&lt;=0.05,1.5,0)</f>
        <v>1.5</v>
      </c>
      <c r="AL39" s="97">
        <f t="shared" si="11"/>
        <v>1.5</v>
      </c>
      <c r="AM39" s="105">
        <v>19133.2</v>
      </c>
      <c r="AN39" s="96">
        <v>21499.3</v>
      </c>
      <c r="AO39" s="112">
        <f t="shared" si="12"/>
        <v>0.8899452540315267</v>
      </c>
      <c r="AP39" s="108"/>
      <c r="AQ39" s="104">
        <f>IF(AO39&lt;=1,1,0)</f>
        <v>1</v>
      </c>
      <c r="AR39" s="106">
        <f>AP39+AQ39</f>
        <v>1</v>
      </c>
      <c r="AS39" s="105">
        <v>37564.9</v>
      </c>
      <c r="AT39" s="96">
        <v>49346.9</v>
      </c>
      <c r="AU39" s="103">
        <f t="shared" si="25"/>
        <v>0.7612413343087407</v>
      </c>
      <c r="AV39" s="108"/>
      <c r="AW39" s="104">
        <f>IF(AU39&lt;=1,1,0)</f>
        <v>1</v>
      </c>
      <c r="AX39" s="106">
        <f t="shared" si="13"/>
        <v>1</v>
      </c>
      <c r="AY39" s="118"/>
      <c r="AZ39" s="119"/>
      <c r="BA39" s="120">
        <f t="shared" si="27"/>
        <v>0</v>
      </c>
      <c r="BB39" s="107">
        <f t="shared" si="38"/>
        <v>6.5</v>
      </c>
      <c r="BC39" s="70"/>
      <c r="BD39" s="90">
        <v>76667.68096</v>
      </c>
      <c r="BF39" s="82">
        <f t="shared" si="14"/>
        <v>0.8534014442895771</v>
      </c>
      <c r="BG39" s="69">
        <f t="shared" si="28"/>
        <v>0</v>
      </c>
      <c r="BH39" s="84">
        <f t="shared" si="29"/>
        <v>0</v>
      </c>
      <c r="BI39" s="84">
        <f t="shared" si="30"/>
        <v>0</v>
      </c>
      <c r="BJ39" s="84">
        <f t="shared" si="31"/>
        <v>1</v>
      </c>
      <c r="BK39" s="69">
        <f t="shared" si="32"/>
        <v>0</v>
      </c>
      <c r="BM39" s="82">
        <f t="shared" si="15"/>
        <v>0.4338151838825922</v>
      </c>
      <c r="BN39" s="69">
        <f t="shared" si="33"/>
        <v>0</v>
      </c>
      <c r="BO39" s="84">
        <f t="shared" si="34"/>
        <v>0</v>
      </c>
      <c r="BP39" s="84">
        <f t="shared" si="35"/>
        <v>1</v>
      </c>
      <c r="BQ39" s="84">
        <f t="shared" si="36"/>
        <v>0</v>
      </c>
      <c r="BR39" s="69">
        <f t="shared" si="37"/>
        <v>0</v>
      </c>
    </row>
    <row r="40" spans="1:70" ht="13.5" thickBot="1">
      <c r="A40" s="92" t="s">
        <v>111</v>
      </c>
      <c r="B40" s="93">
        <v>0</v>
      </c>
      <c r="C40" s="93">
        <v>15504.61083</v>
      </c>
      <c r="D40" s="93">
        <v>0</v>
      </c>
      <c r="E40" s="94">
        <f t="shared" si="16"/>
        <v>0</v>
      </c>
      <c r="F40" s="95"/>
      <c r="G40" s="96">
        <f>IF(E40&lt;=1.05,1,0)</f>
        <v>1</v>
      </c>
      <c r="H40" s="97">
        <f t="shared" si="0"/>
        <v>1</v>
      </c>
      <c r="I40" s="93">
        <v>0</v>
      </c>
      <c r="J40" s="98">
        <v>701288.2167699999</v>
      </c>
      <c r="K40" s="99">
        <v>509837.21677</v>
      </c>
      <c r="L40" s="93">
        <v>120370</v>
      </c>
      <c r="M40" s="93">
        <v>0</v>
      </c>
      <c r="N40" s="94">
        <f t="shared" si="18"/>
        <v>0</v>
      </c>
      <c r="O40" s="95"/>
      <c r="P40" s="96">
        <f>IF(N40&lt;=0.5,1,0)</f>
        <v>1</v>
      </c>
      <c r="Q40" s="97">
        <f t="shared" si="2"/>
        <v>1</v>
      </c>
      <c r="R40" s="100">
        <v>0</v>
      </c>
      <c r="S40" s="93">
        <v>728728.94404</v>
      </c>
      <c r="T40" s="101">
        <v>300588.78920999996</v>
      </c>
      <c r="U40" s="94">
        <f t="shared" si="3"/>
        <v>0</v>
      </c>
      <c r="V40" s="95"/>
      <c r="W40" s="96">
        <f>IF(U40&lt;=0.15,1,0)</f>
        <v>1</v>
      </c>
      <c r="X40" s="97">
        <f t="shared" si="19"/>
        <v>1</v>
      </c>
      <c r="Y40" s="93">
        <f t="shared" si="20"/>
        <v>15504.61083</v>
      </c>
      <c r="Z40" s="102"/>
      <c r="AA40" s="102">
        <v>15504.61083</v>
      </c>
      <c r="AB40" s="102"/>
      <c r="AC40" s="102">
        <f t="shared" si="5"/>
        <v>701288.2167699999</v>
      </c>
      <c r="AD40" s="102">
        <f t="shared" si="6"/>
        <v>509837.21677</v>
      </c>
      <c r="AE40" s="102">
        <f t="shared" si="7"/>
        <v>120370</v>
      </c>
      <c r="AF40" s="102">
        <f t="shared" si="21"/>
        <v>71080.99999999994</v>
      </c>
      <c r="AG40" s="102">
        <f>AF40*10%</f>
        <v>7108.099999999995</v>
      </c>
      <c r="AH40" s="102">
        <f t="shared" si="39"/>
        <v>22612.710829999996</v>
      </c>
      <c r="AI40" s="103">
        <f t="shared" si="10"/>
        <v>0</v>
      </c>
      <c r="AJ40" s="95"/>
      <c r="AK40" s="104">
        <f>IF(AI40&lt;=0.05,1.5,0)</f>
        <v>1.5</v>
      </c>
      <c r="AL40" s="97">
        <f t="shared" si="11"/>
        <v>1.5</v>
      </c>
      <c r="AM40" s="105">
        <v>20723.1</v>
      </c>
      <c r="AN40" s="96">
        <v>21499.3</v>
      </c>
      <c r="AO40" s="112">
        <f t="shared" si="12"/>
        <v>0.9638964989557799</v>
      </c>
      <c r="AP40" s="95"/>
      <c r="AQ40" s="104">
        <f>IF(AO40&lt;=1,1,0)</f>
        <v>1</v>
      </c>
      <c r="AR40" s="106">
        <f>AP40+AQ40</f>
        <v>1</v>
      </c>
      <c r="AS40" s="105">
        <v>47822.1</v>
      </c>
      <c r="AT40" s="96">
        <v>49346.9</v>
      </c>
      <c r="AU40" s="103">
        <f t="shared" si="25"/>
        <v>0.9691003892848385</v>
      </c>
      <c r="AV40" s="95"/>
      <c r="AW40" s="104">
        <f>IF(AU40&lt;=1,1,0)</f>
        <v>1</v>
      </c>
      <c r="AX40" s="106">
        <f t="shared" si="13"/>
        <v>1</v>
      </c>
      <c r="AY40" s="118"/>
      <c r="AZ40" s="119"/>
      <c r="BA40" s="120">
        <f t="shared" si="27"/>
        <v>0</v>
      </c>
      <c r="BB40" s="107">
        <f t="shared" si="38"/>
        <v>6.5</v>
      </c>
      <c r="BC40" s="70"/>
      <c r="BD40" s="90">
        <v>34090.917</v>
      </c>
      <c r="BF40" s="82">
        <f t="shared" si="14"/>
        <v>0.822607682689149</v>
      </c>
      <c r="BG40" s="69">
        <f t="shared" si="28"/>
        <v>0</v>
      </c>
      <c r="BH40" s="84">
        <f t="shared" si="29"/>
        <v>0</v>
      </c>
      <c r="BI40" s="84">
        <f t="shared" si="30"/>
        <v>0</v>
      </c>
      <c r="BJ40" s="84">
        <f t="shared" si="31"/>
        <v>1</v>
      </c>
      <c r="BK40" s="69">
        <f t="shared" si="32"/>
        <v>0</v>
      </c>
      <c r="BM40" s="82">
        <f t="shared" si="15"/>
        <v>0.38547825720782025</v>
      </c>
      <c r="BN40" s="69">
        <f t="shared" si="33"/>
        <v>0</v>
      </c>
      <c r="BO40" s="84">
        <f t="shared" si="34"/>
        <v>0</v>
      </c>
      <c r="BP40" s="84">
        <f t="shared" si="35"/>
        <v>1</v>
      </c>
      <c r="BQ40" s="84">
        <f t="shared" si="36"/>
        <v>0</v>
      </c>
      <c r="BR40" s="69">
        <f t="shared" si="37"/>
        <v>0</v>
      </c>
    </row>
    <row r="41" spans="1:70" ht="13.5" thickBot="1" thickTop="1">
      <c r="A41" s="63" t="s">
        <v>0</v>
      </c>
      <c r="B41" s="64">
        <f>SUM(B10:B40)</f>
        <v>2480996.216</v>
      </c>
      <c r="C41" s="64">
        <f>SUM(C10:C40)</f>
        <v>552455.23098</v>
      </c>
      <c r="D41" s="64">
        <f>SUM(D10:D40)</f>
        <v>2415596.216</v>
      </c>
      <c r="E41" s="9"/>
      <c r="F41" s="9"/>
      <c r="G41" s="9"/>
      <c r="H41" s="21"/>
      <c r="I41" s="9">
        <f>SUM(I10:I40)</f>
        <v>2386254.92328</v>
      </c>
      <c r="J41" s="9">
        <f>SUM(J10:J40)</f>
        <v>27149564.958310008</v>
      </c>
      <c r="K41" s="9">
        <f>SUM(K10:K40)</f>
        <v>11450822.756630002</v>
      </c>
      <c r="L41" s="9">
        <f>SUM(L10:L40)</f>
        <v>2634304</v>
      </c>
      <c r="M41" s="9">
        <f>SUM(M10:M40)</f>
        <v>0</v>
      </c>
      <c r="N41" s="9"/>
      <c r="O41" s="9"/>
      <c r="P41" s="9"/>
      <c r="Q41" s="21"/>
      <c r="R41" s="31">
        <f>SUM(R10:R40)</f>
        <v>175380.13275</v>
      </c>
      <c r="S41" s="9">
        <f>SUM(S10:S40)</f>
        <v>28470412.58823</v>
      </c>
      <c r="T41" s="9">
        <f>SUM(T10:T40)</f>
        <v>9948878.29894</v>
      </c>
      <c r="U41" s="9"/>
      <c r="V41" s="9"/>
      <c r="W41" s="9"/>
      <c r="X41" s="21"/>
      <c r="Y41" s="14">
        <f aca="true" t="shared" si="51" ref="Y41:AE41">SUM(Y10:Y40)</f>
        <v>552455.23098</v>
      </c>
      <c r="Z41" s="26">
        <f t="shared" si="51"/>
        <v>0</v>
      </c>
      <c r="AA41" s="26">
        <f t="shared" si="51"/>
        <v>487055.23098</v>
      </c>
      <c r="AB41" s="26">
        <f t="shared" si="51"/>
        <v>0</v>
      </c>
      <c r="AC41" s="26">
        <f t="shared" si="51"/>
        <v>27149564.958310008</v>
      </c>
      <c r="AD41" s="26">
        <f t="shared" si="51"/>
        <v>11450822.756630002</v>
      </c>
      <c r="AE41" s="26">
        <f t="shared" si="51"/>
        <v>2634304</v>
      </c>
      <c r="AF41" s="14"/>
      <c r="AG41" s="14"/>
      <c r="AH41" s="14"/>
      <c r="AI41" s="9"/>
      <c r="AJ41" s="9"/>
      <c r="AK41" s="9"/>
      <c r="AL41" s="9"/>
      <c r="AM41" s="31">
        <f>SUM(AM10:AM40)</f>
        <v>819548.7999999999</v>
      </c>
      <c r="AN41" s="26">
        <f>SUM(AN10:AN40)</f>
        <v>891438.7999999998</v>
      </c>
      <c r="AO41" s="9"/>
      <c r="AP41" s="9"/>
      <c r="AQ41" s="9"/>
      <c r="AR41" s="9"/>
      <c r="AS41" s="26">
        <f>SUM(AS10:AS40)</f>
        <v>1796246.5999999996</v>
      </c>
      <c r="AT41" s="26">
        <f>SUM(AT10:AT40)</f>
        <v>1950934.5999999987</v>
      </c>
      <c r="AU41" s="9"/>
      <c r="AV41" s="9"/>
      <c r="AW41" s="9"/>
      <c r="AX41" s="9"/>
      <c r="AY41" s="121"/>
      <c r="AZ41" s="122"/>
      <c r="BA41" s="123"/>
      <c r="BB41" s="65"/>
      <c r="BC41" s="70"/>
      <c r="BD41" s="1"/>
      <c r="BF41" s="87"/>
      <c r="BG41" s="86">
        <f>SUM(BG10:BG40)</f>
        <v>5</v>
      </c>
      <c r="BH41" s="86">
        <f>SUM(BH10:BH40)</f>
        <v>2</v>
      </c>
      <c r="BI41" s="86">
        <f>SUM(BI10:BI40)</f>
        <v>1</v>
      </c>
      <c r="BJ41" s="86">
        <f>SUM(BJ10:BJ40)</f>
        <v>21</v>
      </c>
      <c r="BK41" s="86">
        <f>SUM(BK10:BK40)</f>
        <v>2</v>
      </c>
      <c r="BM41" s="87"/>
      <c r="BN41" s="86">
        <f>SUM(BN10:BN40)</f>
        <v>0</v>
      </c>
      <c r="BO41" s="86">
        <f>SUM(BO10:BO40)</f>
        <v>4</v>
      </c>
      <c r="BP41" s="86">
        <f>SUM(BP10:BP40)</f>
        <v>19</v>
      </c>
      <c r="BQ41" s="86">
        <f>SUM(BQ10:BQ40)</f>
        <v>8</v>
      </c>
      <c r="BR41" s="86">
        <f>SUM(BR10:BR40)</f>
        <v>0</v>
      </c>
    </row>
    <row r="42" spans="53:70" ht="13.5" thickTop="1">
      <c r="BA42">
        <v>3</v>
      </c>
      <c r="BC42" s="70"/>
      <c r="BD42" s="1"/>
      <c r="BF42" s="69" t="s">
        <v>59</v>
      </c>
      <c r="BG42" s="69" t="e">
        <f>BG10+BG11+BG12+BG13+BG14+#REF!</f>
        <v>#REF!</v>
      </c>
      <c r="BH42" s="69" t="e">
        <f>BH10+BH11+BH12+BH13+BH14+#REF!</f>
        <v>#REF!</v>
      </c>
      <c r="BI42" s="69" t="e">
        <f>BI10+BI11+BI12+BI13+BI14+#REF!</f>
        <v>#REF!</v>
      </c>
      <c r="BJ42" s="69" t="e">
        <f>BJ10+BJ11+BJ12+BJ13+BJ14+#REF!</f>
        <v>#REF!</v>
      </c>
      <c r="BK42" s="69" t="e">
        <f>BK10+BK11+BK12+BK13+BK14+#REF!</f>
        <v>#REF!</v>
      </c>
      <c r="BM42" s="69" t="s">
        <v>59</v>
      </c>
      <c r="BN42" s="69" t="e">
        <f>BN10+BN11+BN12+BN13+BN14+#REF!</f>
        <v>#REF!</v>
      </c>
      <c r="BO42" s="69" t="e">
        <f>BO10+BO11+BO12+BO13+BO14+#REF!</f>
        <v>#REF!</v>
      </c>
      <c r="BP42" s="69" t="e">
        <f>BP10+BP11+BP12+BP13+BP14+#REF!</f>
        <v>#REF!</v>
      </c>
      <c r="BQ42" s="69" t="e">
        <f>BQ10+BQ11+BQ12+BQ13+BQ14+#REF!</f>
        <v>#REF!</v>
      </c>
      <c r="BR42" s="69" t="e">
        <f>BR10+BR11+BR12+BR13+BR14+#REF!</f>
        <v>#REF!</v>
      </c>
    </row>
    <row r="43" spans="2:70" ht="24.75" hidden="1">
      <c r="B43" s="124" t="s">
        <v>72</v>
      </c>
      <c r="C43" s="124" t="s">
        <v>73</v>
      </c>
      <c r="D43" s="124" t="s">
        <v>74</v>
      </c>
      <c r="L43" s="83"/>
      <c r="BF43" s="69" t="s">
        <v>60</v>
      </c>
      <c r="BG43" s="69" t="e">
        <f>BG41-BG42</f>
        <v>#REF!</v>
      </c>
      <c r="BH43" s="69" t="e">
        <f>BH41-BH42</f>
        <v>#REF!</v>
      </c>
      <c r="BI43" s="69" t="e">
        <f>BI41-BI42</f>
        <v>#REF!</v>
      </c>
      <c r="BJ43" s="69" t="e">
        <f>BJ41-BJ42</f>
        <v>#REF!</v>
      </c>
      <c r="BK43" s="69" t="e">
        <f>BK41-BK42</f>
        <v>#REF!</v>
      </c>
      <c r="BM43" s="69" t="s">
        <v>60</v>
      </c>
      <c r="BN43" s="69" t="e">
        <f>BN41-BN42</f>
        <v>#REF!</v>
      </c>
      <c r="BO43" s="69" t="e">
        <f>BO41-BO42</f>
        <v>#REF!</v>
      </c>
      <c r="BP43" s="69" t="e">
        <f>BP41-BP42</f>
        <v>#REF!</v>
      </c>
      <c r="BQ43" s="69" t="e">
        <f>BQ41-BQ42</f>
        <v>#REF!</v>
      </c>
      <c r="BR43" s="69" t="e">
        <f>BR41-BR42</f>
        <v>#REF!</v>
      </c>
    </row>
    <row r="44" ht="12">
      <c r="L44" s="114"/>
    </row>
  </sheetData>
  <sheetProtection/>
  <mergeCells count="14">
    <mergeCell ref="B1:H3"/>
    <mergeCell ref="A4:A7"/>
    <mergeCell ref="B4:H4"/>
    <mergeCell ref="I4:Q4"/>
    <mergeCell ref="R4:X4"/>
    <mergeCell ref="Y4:AL4"/>
    <mergeCell ref="B5:D5"/>
    <mergeCell ref="I5:K5"/>
    <mergeCell ref="R5:T5"/>
    <mergeCell ref="Y5:AA5"/>
    <mergeCell ref="AM5:AN5"/>
    <mergeCell ref="AS4:AX4"/>
    <mergeCell ref="AS5:AT5"/>
    <mergeCell ref="AM4:AR4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Prudnikov</dc:creator>
  <cp:keywords/>
  <dc:description/>
  <cp:lastModifiedBy>Бурштейн</cp:lastModifiedBy>
  <cp:lastPrinted>2021-04-28T05:55:59Z</cp:lastPrinted>
  <dcterms:created xsi:type="dcterms:W3CDTF">2010-04-09T11:34:58Z</dcterms:created>
  <dcterms:modified xsi:type="dcterms:W3CDTF">2021-05-26T09:11:57Z</dcterms:modified>
  <cp:category/>
  <cp:version/>
  <cp:contentType/>
  <cp:contentStatus/>
</cp:coreProperties>
</file>