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130" activeTab="0"/>
  </bookViews>
  <sheets>
    <sheet name="за 2 кв." sheetId="1" r:id="rId1"/>
  </sheets>
  <externalReferences>
    <externalReference r:id="rId4"/>
  </externalReferences>
  <definedNames>
    <definedName name="_xlfn.BAHTTEXT" hidden="1">#NAME?</definedName>
    <definedName name="_xlnm.Print_Titles" localSheetId="0">'за 2 кв.'!$A:$A</definedName>
    <definedName name="_xlnm.Print_Area" localSheetId="0">'за 2 кв.'!$A$1:$AY$43</definedName>
  </definedNames>
  <calcPr fullCalcOnLoad="1"/>
</workbook>
</file>

<file path=xl/sharedStrings.xml><?xml version="1.0" encoding="utf-8"?>
<sst xmlns="http://schemas.openxmlformats.org/spreadsheetml/2006/main" count="136" uniqueCount="96">
  <si>
    <t>Перечень индикаторов на соответствие плановых показателей местных бюджетов требованиям Бюджетного кодекса Российской Федерации по состоянию на 01.07.2018</t>
  </si>
  <si>
    <t>тыс.руб.</t>
  </si>
  <si>
    <t>P1</t>
  </si>
  <si>
    <t>P2</t>
  </si>
  <si>
    <t>P3</t>
  </si>
  <si>
    <t>P4</t>
  </si>
  <si>
    <t>P5.1</t>
  </si>
  <si>
    <t>P5.2</t>
  </si>
  <si>
    <r>
      <t xml:space="preserve">Объем заимствований муниципального образования в </t>
    </r>
    <r>
      <rPr>
        <b/>
        <sz val="10"/>
        <color indexed="10"/>
        <rFont val="Times New Roman"/>
        <family val="1"/>
      </rPr>
      <t xml:space="preserve">текущем </t>
    </r>
    <r>
      <rPr>
        <sz val="10"/>
        <rFont val="Times New Roman"/>
        <family val="1"/>
      </rPr>
      <t>финансовом году</t>
    </r>
  </si>
  <si>
    <t>Сумма, направленная в текущем финансовом году на финансирование дефицита местного бюджета</t>
  </si>
  <si>
    <t>Сумма, направленная в текущем финансовом году на погашение долговых обязательств бюджета муниципального образования</t>
  </si>
  <si>
    <t>Отношение объема заимствований муниципального образования в текущем финансовом году к сумме, направляемой в текущем финансовом году на финансирование дефицита местного бюджета и (или) погашение долговых обязательств муниципального образования (ст. 106 БК РФ)</t>
  </si>
  <si>
    <t>Нормативное значение</t>
  </si>
  <si>
    <t>Нормативное значение для муниципального образования, в отношении которого осуществляются меры, предусмотренные п.4 ст.136 БК РФ</t>
  </si>
  <si>
    <t>Удельный вес индикатора</t>
  </si>
  <si>
    <t>Объем муниципального долга</t>
  </si>
  <si>
    <t>Общий годовой объем доходов местного бюджета</t>
  </si>
  <si>
    <r>
      <t>Объем безвозмездных поступлений (</t>
    </r>
    <r>
      <rPr>
        <sz val="10"/>
        <color indexed="30"/>
        <rFont val="Times New Roman"/>
        <family val="1"/>
      </rPr>
      <t>КБК 0002000000...</t>
    </r>
    <r>
      <rPr>
        <sz val="10"/>
        <rFont val="Times New Roman"/>
        <family val="1"/>
      </rPr>
      <t>)</t>
    </r>
  </si>
  <si>
    <t>Объем поступлений по дополнительным нормативам</t>
  </si>
  <si>
    <t>Задолженность по бюджетным кредитам</t>
  </si>
  <si>
    <t>Отношение объема муниципального долга к общему годовому объему доходов местного бюджета без учета объема безвозмездных поступлений и поступлений налоговых доходов по дополнительным нормативам (ст. 107 БК РФ)</t>
  </si>
  <si>
    <t>Объем расходов местного бюджета на обслуживание муниципального долга</t>
  </si>
  <si>
    <t>Объем расходов местного бюджета</t>
  </si>
  <si>
    <t>Объем расходов, которые осуществляются за счет субвенций, предоставляемых из областного бюджета</t>
  </si>
  <si>
    <t>Отношение объема расходов на обслуживание муниципального долга к объему расходов местного бюджета, за исключением объема расходов, которые осуществляются за счет субвенций, предоставляемых из областного бюджета (ст. 111 БК РФ)</t>
  </si>
  <si>
    <t>Размер дефицита местного бюджета</t>
  </si>
  <si>
    <t xml:space="preserve">Объем поступлений от продажи акций и иных форм участия в капитале, находящихся в собственности муниципального
образования
</t>
  </si>
  <si>
    <t>Величина снижения остатков средств на счетах по учету средств местного бюджета</t>
  </si>
  <si>
    <t>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</si>
  <si>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>Объем доходов местного бюджета</t>
  </si>
  <si>
    <t>Объем безвозмездных поступлений</t>
  </si>
  <si>
    <t>объем налоговых поступлений по дополнительным нормативам</t>
  </si>
  <si>
    <t>Доходы без безвозмездных и доп нормативов</t>
  </si>
  <si>
    <t>5% или 10% от собственных доходов</t>
  </si>
  <si>
    <t>5% или 10% от собственных доходов + остатки (отрицательную разницу по бюджетным кредитам не берем, т.к. она не увеличивает, а снижает сумму допустимого дефицита)</t>
  </si>
  <si>
    <t>Отношение дефицита местного бюджета (с учетом допустимых превышений)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(ст. 92.1 БК РФ)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</si>
  <si>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утвержденный в местном бюджете на текущий финансовый год</t>
  </si>
  <si>
    <t>Объем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исчисленный по утвержденному нормативу формирования данных расходов.</t>
  </si>
  <si>
    <t>Отношение утвержденного в местном бюджете годового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к расходам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исчисленным к установленному нормативу формирования данных расходов (ст. 136 БК РФ)</t>
  </si>
  <si>
    <t>Объем расходов на содержание органов местного самоуправления, утвержденный в местном бюджете на текущий финансовый год</t>
  </si>
  <si>
    <t xml:space="preserve">Объем расходов на содержание органов местного самоуправления по утвержденному нормативу </t>
  </si>
  <si>
    <t>Отношение утвержденного в местном бюджете годового объема расходов на содержание органов местного самоуправления, к расходам на содержание органов местного самоуправления по утвержденному нормативу (ст. 136 БК РФ)</t>
  </si>
  <si>
    <t>Итоговое значение</t>
  </si>
  <si>
    <t>Аi</t>
  </si>
  <si>
    <t>Бi</t>
  </si>
  <si>
    <t>Вi</t>
  </si>
  <si>
    <t>Р1 = Аi / (Бi + Вi),                                    если Бi &lt; 0, то Р1 = Аi / Вi</t>
  </si>
  <si>
    <t>≤1,0</t>
  </si>
  <si>
    <t>Гi</t>
  </si>
  <si>
    <t>Р2 = Аi / (Бi - Вi - Гi)</t>
  </si>
  <si>
    <t>≤0,5</t>
  </si>
  <si>
    <t>Р3 = Аi / (Бi - Вi)</t>
  </si>
  <si>
    <t>≤0,15</t>
  </si>
  <si>
    <t>Кi</t>
  </si>
  <si>
    <t>Дi</t>
  </si>
  <si>
    <t>Иi</t>
  </si>
  <si>
    <t>Р4 =  (Ai - Бi – Bi – Кi)/
(Гi -Дi - Иi), при Бi &gt; 0 и Bi &gt; 0, и Кi  &gt; 0
иначе Р4 = Ai/(Гi - Дi - Иi)</t>
  </si>
  <si>
    <t>≤0,10</t>
  </si>
  <si>
    <t>≤0,05</t>
  </si>
  <si>
    <t>Р5 = Ai/Бi</t>
  </si>
  <si>
    <t>план</t>
  </si>
  <si>
    <t>если -, то 0</t>
  </si>
  <si>
    <t xml:space="preserve">1. г.Брянск </t>
  </si>
  <si>
    <t>2. Дятьковский р-н</t>
  </si>
  <si>
    <t>3. г.Клинцы</t>
  </si>
  <si>
    <t>4. г.Новозыбков</t>
  </si>
  <si>
    <t>5. г.Сельцо</t>
  </si>
  <si>
    <t>6. Брасовский р-н</t>
  </si>
  <si>
    <t>7. Брянский р-н</t>
  </si>
  <si>
    <t>8. Выгоничский р-н</t>
  </si>
  <si>
    <t>9. Гордеевский р-н</t>
  </si>
  <si>
    <t>10. Дубровский р-н</t>
  </si>
  <si>
    <t>11. Жирятинский р-н</t>
  </si>
  <si>
    <t>12. Жуковский р-н</t>
  </si>
  <si>
    <t>13. Злынковский р-н</t>
  </si>
  <si>
    <t>14. Карачевский р-н</t>
  </si>
  <si>
    <t>15. Клетнянский р-н</t>
  </si>
  <si>
    <t>16. Климовский р-н</t>
  </si>
  <si>
    <t>17. Клинцовский р-н</t>
  </si>
  <si>
    <t>18. Комаричский р-н</t>
  </si>
  <si>
    <t>19. Красногорский р-н</t>
  </si>
  <si>
    <t>20. Мглинский р-н</t>
  </si>
  <si>
    <t>21. Навлинский р-н</t>
  </si>
  <si>
    <t>22. Новозыбковский р-н</t>
  </si>
  <si>
    <t>23. Погарский р-н</t>
  </si>
  <si>
    <t>24. Почепский р-н</t>
  </si>
  <si>
    <t>25. Рогнединский р-н</t>
  </si>
  <si>
    <t>26. Севский р-н</t>
  </si>
  <si>
    <t>27. Стародубский р-н</t>
  </si>
  <si>
    <t>28. Суземский р-н</t>
  </si>
  <si>
    <t>29. Суражский р-н</t>
  </si>
  <si>
    <t>30. Трубчевский р-н</t>
  </si>
  <si>
    <t>31. Унечский р-н</t>
  </si>
  <si>
    <t>34. г.Фокино</t>
  </si>
  <si>
    <t>36. г.Стародуб</t>
  </si>
  <si>
    <t>ИТОГО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</si>
</sst>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_ ;[Red]\-#,##0.0\ "/>
    <numFmt numFmtId="166" formatCode="_-* #,##0_р_._-;\-* #,##0_р_._-;_-* &quot;-&quot;??_р_._-;_-@_-"/>
    <numFmt numFmtId="167" formatCode="_-* #,##0.0_р_._-;\-* #,##0.0_р_._-;_-* &quot;-&quot;??_р_._-;_-@_-"/>
    <numFmt numFmtId="168" formatCode="#,##0.0"/>
    <numFmt numFmtId="169" formatCode="#,##0_ ;[Red]\-#,##0\ "/>
    <numFmt numFmtId="170" formatCode="0.000"/>
    <numFmt numFmtId="171" formatCode="0.0000"/>
    <numFmt numFmtId="172" formatCode="0.0_ ;[Red]\-0.0\ "/>
    <numFmt numFmtId="173" formatCode="0.0"/>
    <numFmt numFmtId="174" formatCode="0.0%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30"/>
      <name val="Times New Roman"/>
      <family val="1"/>
    </font>
    <font>
      <i/>
      <u val="single"/>
      <sz val="11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ck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double"/>
      <top style="thin"/>
      <bottom style="thin"/>
    </border>
    <border>
      <left style="thick"/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thick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double"/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28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8" fillId="0" borderId="0" xfId="0" applyFont="1" applyAlignment="1">
      <alignment/>
    </xf>
    <xf numFmtId="43" fontId="19" fillId="0" borderId="0" xfId="60" applyFont="1" applyAlignment="1">
      <alignment horizontal="center" wrapText="1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0" fillId="33" borderId="0" xfId="0" applyFill="1" applyAlignment="1">
      <alignment/>
    </xf>
    <xf numFmtId="43" fontId="19" fillId="0" borderId="10" xfId="60" applyFont="1" applyBorder="1" applyAlignment="1">
      <alignment horizontal="center" wrapText="1"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34" borderId="0" xfId="0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/>
    </xf>
    <xf numFmtId="0" fontId="21" fillId="8" borderId="12" xfId="0" applyFont="1" applyFill="1" applyBorder="1" applyAlignment="1">
      <alignment horizontal="center" vertical="center"/>
    </xf>
    <xf numFmtId="0" fontId="21" fillId="8" borderId="13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6" borderId="12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/>
    </xf>
    <xf numFmtId="0" fontId="0" fillId="37" borderId="16" xfId="0" applyFill="1" applyBorder="1" applyAlignment="1">
      <alignment/>
    </xf>
    <xf numFmtId="0" fontId="20" fillId="0" borderId="17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22" fillId="38" borderId="19" xfId="0" applyFont="1" applyFill="1" applyBorder="1" applyAlignment="1">
      <alignment horizontal="center"/>
    </xf>
    <xf numFmtId="0" fontId="22" fillId="38" borderId="20" xfId="0" applyFont="1" applyFill="1" applyBorder="1" applyAlignment="1">
      <alignment/>
    </xf>
    <xf numFmtId="0" fontId="22" fillId="38" borderId="21" xfId="0" applyFont="1" applyFill="1" applyBorder="1" applyAlignment="1">
      <alignment/>
    </xf>
    <xf numFmtId="0" fontId="22" fillId="38" borderId="22" xfId="0" applyFont="1" applyFill="1" applyBorder="1" applyAlignment="1">
      <alignment/>
    </xf>
    <xf numFmtId="0" fontId="18" fillId="0" borderId="2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22" fillId="38" borderId="24" xfId="0" applyFont="1" applyFill="1" applyBorder="1" applyAlignment="1">
      <alignment/>
    </xf>
    <xf numFmtId="0" fontId="0" fillId="37" borderId="25" xfId="0" applyFill="1" applyBorder="1" applyAlignment="1">
      <alignment/>
    </xf>
    <xf numFmtId="0" fontId="18" fillId="39" borderId="26" xfId="0" applyFont="1" applyFill="1" applyBorder="1" applyAlignment="1">
      <alignment horizontal="center" vertical="center" wrapText="1"/>
    </xf>
    <xf numFmtId="0" fontId="22" fillId="40" borderId="26" xfId="0" applyFont="1" applyFill="1" applyBorder="1" applyAlignment="1">
      <alignment horizontal="center" vertical="center" wrapText="1"/>
    </xf>
    <xf numFmtId="0" fontId="22" fillId="40" borderId="27" xfId="0" applyFont="1" applyFill="1" applyBorder="1" applyAlignment="1">
      <alignment horizontal="center" vertical="center" wrapText="1"/>
    </xf>
    <xf numFmtId="0" fontId="25" fillId="39" borderId="26" xfId="0" applyFont="1" applyFill="1" applyBorder="1" applyAlignment="1">
      <alignment horizontal="center" vertical="center" wrapText="1"/>
    </xf>
    <xf numFmtId="0" fontId="18" fillId="39" borderId="28" xfId="0" applyFont="1" applyFill="1" applyBorder="1" applyAlignment="1">
      <alignment horizontal="center" vertical="center" wrapText="1"/>
    </xf>
    <xf numFmtId="0" fontId="22" fillId="40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2" fillId="39" borderId="31" xfId="0" applyFont="1" applyFill="1" applyBorder="1" applyAlignment="1">
      <alignment horizontal="center" vertical="center" wrapText="1"/>
    </xf>
    <xf numFmtId="0" fontId="22" fillId="39" borderId="32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37" borderId="31" xfId="0" applyFont="1" applyFill="1" applyBorder="1" applyAlignment="1">
      <alignment horizontal="center" vertical="center" wrapText="1"/>
    </xf>
    <xf numFmtId="0" fontId="22" fillId="41" borderId="31" xfId="0" applyFont="1" applyFill="1" applyBorder="1" applyAlignment="1">
      <alignment horizontal="center" vertical="center" wrapText="1"/>
    </xf>
    <xf numFmtId="0" fontId="22" fillId="39" borderId="33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35" xfId="0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29" xfId="0" applyBorder="1" applyAlignment="1">
      <alignment/>
    </xf>
    <xf numFmtId="0" fontId="27" fillId="42" borderId="36" xfId="0" applyFont="1" applyFill="1" applyBorder="1" applyAlignment="1">
      <alignment horizontal="center"/>
    </xf>
    <xf numFmtId="0" fontId="27" fillId="42" borderId="31" xfId="0" applyFont="1" applyFill="1" applyBorder="1" applyAlignment="1">
      <alignment horizontal="center"/>
    </xf>
    <xf numFmtId="0" fontId="27" fillId="42" borderId="32" xfId="0" applyFont="1" applyFill="1" applyBorder="1" applyAlignment="1">
      <alignment horizontal="center"/>
    </xf>
    <xf numFmtId="0" fontId="27" fillId="42" borderId="37" xfId="0" applyFont="1" applyFill="1" applyBorder="1" applyAlignment="1">
      <alignment horizontal="center"/>
    </xf>
    <xf numFmtId="0" fontId="27" fillId="42" borderId="38" xfId="0" applyFont="1" applyFill="1" applyBorder="1" applyAlignment="1">
      <alignment horizontal="center"/>
    </xf>
    <xf numFmtId="0" fontId="22" fillId="42" borderId="31" xfId="0" applyFont="1" applyFill="1" applyBorder="1" applyAlignment="1">
      <alignment horizontal="center"/>
    </xf>
    <xf numFmtId="0" fontId="27" fillId="42" borderId="33" xfId="0" applyFont="1" applyFill="1" applyBorder="1" applyAlignment="1">
      <alignment horizontal="center"/>
    </xf>
    <xf numFmtId="0" fontId="18" fillId="0" borderId="39" xfId="0" applyFont="1" applyBorder="1" applyAlignment="1">
      <alignment/>
    </xf>
    <xf numFmtId="165" fontId="18" fillId="0" borderId="40" xfId="60" applyNumberFormat="1" applyFont="1" applyFill="1" applyBorder="1" applyAlignment="1">
      <alignment/>
    </xf>
    <xf numFmtId="164" fontId="22" fillId="0" borderId="40" xfId="60" applyNumberFormat="1" applyFont="1" applyBorder="1" applyAlignment="1">
      <alignment/>
    </xf>
    <xf numFmtId="166" fontId="18" fillId="0" borderId="41" xfId="60" applyNumberFormat="1" applyFont="1" applyBorder="1" applyAlignment="1">
      <alignment/>
    </xf>
    <xf numFmtId="166" fontId="18" fillId="0" borderId="19" xfId="60" applyNumberFormat="1" applyFont="1" applyBorder="1" applyAlignment="1">
      <alignment/>
    </xf>
    <xf numFmtId="167" fontId="22" fillId="0" borderId="42" xfId="60" applyNumberFormat="1" applyFont="1" applyBorder="1" applyAlignment="1">
      <alignment/>
    </xf>
    <xf numFmtId="165" fontId="18" fillId="33" borderId="40" xfId="60" applyNumberFormat="1" applyFont="1" applyFill="1" applyBorder="1" applyAlignment="1">
      <alignment/>
    </xf>
    <xf numFmtId="168" fontId="18" fillId="0" borderId="41" xfId="60" applyNumberFormat="1" applyFont="1" applyFill="1" applyBorder="1" applyAlignment="1">
      <alignment/>
    </xf>
    <xf numFmtId="164" fontId="22" fillId="0" borderId="40" xfId="60" applyNumberFormat="1" applyFont="1" applyFill="1" applyBorder="1" applyAlignment="1">
      <alignment/>
    </xf>
    <xf numFmtId="165" fontId="18" fillId="0" borderId="43" xfId="60" applyNumberFormat="1" applyFont="1" applyFill="1" applyBorder="1" applyAlignment="1">
      <alignment/>
    </xf>
    <xf numFmtId="169" fontId="18" fillId="0" borderId="19" xfId="60" applyNumberFormat="1" applyFont="1" applyFill="1" applyBorder="1" applyAlignment="1">
      <alignment/>
    </xf>
    <xf numFmtId="165" fontId="18" fillId="0" borderId="19" xfId="60" applyNumberFormat="1" applyFont="1" applyFill="1" applyBorder="1" applyAlignment="1">
      <alignment/>
    </xf>
    <xf numFmtId="165" fontId="18" fillId="0" borderId="19" xfId="60" applyNumberFormat="1" applyFont="1" applyBorder="1" applyAlignment="1">
      <alignment/>
    </xf>
    <xf numFmtId="170" fontId="22" fillId="0" borderId="19" xfId="60" applyNumberFormat="1" applyFont="1" applyBorder="1" applyAlignment="1">
      <alignment/>
    </xf>
    <xf numFmtId="167" fontId="18" fillId="0" borderId="41" xfId="60" applyNumberFormat="1" applyFont="1" applyFill="1" applyBorder="1" applyAlignment="1">
      <alignment/>
    </xf>
    <xf numFmtId="166" fontId="18" fillId="0" borderId="19" xfId="60" applyNumberFormat="1" applyFont="1" applyFill="1" applyBorder="1" applyAlignment="1">
      <alignment/>
    </xf>
    <xf numFmtId="167" fontId="22" fillId="0" borderId="42" xfId="60" applyNumberFormat="1" applyFont="1" applyFill="1" applyBorder="1" applyAlignment="1">
      <alignment/>
    </xf>
    <xf numFmtId="166" fontId="18" fillId="0" borderId="44" xfId="60" applyNumberFormat="1" applyFont="1" applyFill="1" applyBorder="1" applyAlignment="1">
      <alignment/>
    </xf>
    <xf numFmtId="171" fontId="22" fillId="0" borderId="19" xfId="60" applyNumberFormat="1" applyFont="1" applyBorder="1" applyAlignment="1">
      <alignment/>
    </xf>
    <xf numFmtId="167" fontId="18" fillId="0" borderId="41" xfId="60" applyNumberFormat="1" applyFont="1" applyBorder="1" applyAlignment="1">
      <alignment/>
    </xf>
    <xf numFmtId="172" fontId="22" fillId="0" borderId="19" xfId="60" applyNumberFormat="1" applyFont="1" applyBorder="1" applyAlignment="1">
      <alignment/>
    </xf>
    <xf numFmtId="167" fontId="22" fillId="0" borderId="45" xfId="60" applyNumberFormat="1" applyFont="1" applyBorder="1" applyAlignment="1">
      <alignment/>
    </xf>
    <xf numFmtId="0" fontId="18" fillId="43" borderId="46" xfId="0" applyFont="1" applyFill="1" applyBorder="1" applyAlignment="1">
      <alignment/>
    </xf>
    <xf numFmtId="165" fontId="18" fillId="43" borderId="40" xfId="60" applyNumberFormat="1" applyFont="1" applyFill="1" applyBorder="1" applyAlignment="1">
      <alignment/>
    </xf>
    <xf numFmtId="164" fontId="22" fillId="43" borderId="40" xfId="60" applyNumberFormat="1" applyFont="1" applyFill="1" applyBorder="1" applyAlignment="1">
      <alignment/>
    </xf>
    <xf numFmtId="166" fontId="18" fillId="43" borderId="41" xfId="60" applyNumberFormat="1" applyFont="1" applyFill="1" applyBorder="1" applyAlignment="1">
      <alignment/>
    </xf>
    <xf numFmtId="166" fontId="18" fillId="43" borderId="19" xfId="60" applyNumberFormat="1" applyFont="1" applyFill="1" applyBorder="1" applyAlignment="1">
      <alignment/>
    </xf>
    <xf numFmtId="167" fontId="22" fillId="43" borderId="42" xfId="60" applyNumberFormat="1" applyFont="1" applyFill="1" applyBorder="1" applyAlignment="1">
      <alignment/>
    </xf>
    <xf numFmtId="168" fontId="18" fillId="43" borderId="41" xfId="60" applyNumberFormat="1" applyFont="1" applyFill="1" applyBorder="1" applyAlignment="1">
      <alignment/>
    </xf>
    <xf numFmtId="165" fontId="18" fillId="43" borderId="44" xfId="60" applyNumberFormat="1" applyFont="1" applyFill="1" applyBorder="1" applyAlignment="1">
      <alignment/>
    </xf>
    <xf numFmtId="165" fontId="18" fillId="43" borderId="19" xfId="60" applyNumberFormat="1" applyFont="1" applyFill="1" applyBorder="1" applyAlignment="1">
      <alignment/>
    </xf>
    <xf numFmtId="170" fontId="22" fillId="43" borderId="19" xfId="60" applyNumberFormat="1" applyFont="1" applyFill="1" applyBorder="1" applyAlignment="1">
      <alignment/>
    </xf>
    <xf numFmtId="167" fontId="18" fillId="43" borderId="41" xfId="60" applyNumberFormat="1" applyFont="1" applyFill="1" applyBorder="1" applyAlignment="1">
      <alignment/>
    </xf>
    <xf numFmtId="167" fontId="18" fillId="43" borderId="19" xfId="60" applyNumberFormat="1" applyFont="1" applyFill="1" applyBorder="1" applyAlignment="1">
      <alignment/>
    </xf>
    <xf numFmtId="166" fontId="18" fillId="43" borderId="44" xfId="60" applyNumberFormat="1" applyFont="1" applyFill="1" applyBorder="1" applyAlignment="1">
      <alignment/>
    </xf>
    <xf numFmtId="171" fontId="22" fillId="43" borderId="19" xfId="60" applyNumberFormat="1" applyFont="1" applyFill="1" applyBorder="1" applyAlignment="1">
      <alignment/>
    </xf>
    <xf numFmtId="172" fontId="22" fillId="43" borderId="19" xfId="60" applyNumberFormat="1" applyFont="1" applyFill="1" applyBorder="1" applyAlignment="1">
      <alignment/>
    </xf>
    <xf numFmtId="167" fontId="22" fillId="43" borderId="45" xfId="60" applyNumberFormat="1" applyFont="1" applyFill="1" applyBorder="1" applyAlignment="1">
      <alignment/>
    </xf>
    <xf numFmtId="0" fontId="18" fillId="0" borderId="46" xfId="0" applyFont="1" applyBorder="1" applyAlignment="1">
      <alignment/>
    </xf>
    <xf numFmtId="166" fontId="18" fillId="0" borderId="41" xfId="60" applyNumberFormat="1" applyFont="1" applyFill="1" applyBorder="1" applyAlignment="1">
      <alignment/>
    </xf>
    <xf numFmtId="165" fontId="18" fillId="0" borderId="44" xfId="60" applyNumberFormat="1" applyFont="1" applyFill="1" applyBorder="1" applyAlignment="1">
      <alignment/>
    </xf>
    <xf numFmtId="167" fontId="22" fillId="0" borderId="45" xfId="60" applyNumberFormat="1" applyFont="1" applyFill="1" applyBorder="1" applyAlignment="1">
      <alignment/>
    </xf>
    <xf numFmtId="171" fontId="22" fillId="0" borderId="19" xfId="60" applyNumberFormat="1" applyFont="1" applyFill="1" applyBorder="1" applyAlignment="1">
      <alignment/>
    </xf>
    <xf numFmtId="170" fontId="22" fillId="0" borderId="19" xfId="60" applyNumberFormat="1" applyFont="1" applyFill="1" applyBorder="1" applyAlignment="1">
      <alignment/>
    </xf>
    <xf numFmtId="0" fontId="18" fillId="0" borderId="46" xfId="0" applyFont="1" applyFill="1" applyBorder="1" applyAlignment="1">
      <alignment/>
    </xf>
    <xf numFmtId="167" fontId="18" fillId="0" borderId="19" xfId="60" applyNumberFormat="1" applyFont="1" applyFill="1" applyBorder="1" applyAlignment="1">
      <alignment/>
    </xf>
    <xf numFmtId="172" fontId="22" fillId="0" borderId="19" xfId="60" applyNumberFormat="1" applyFont="1" applyFill="1" applyBorder="1" applyAlignment="1">
      <alignment/>
    </xf>
    <xf numFmtId="165" fontId="18" fillId="0" borderId="40" xfId="60" applyNumberFormat="1" applyFont="1" applyBorder="1" applyAlignment="1">
      <alignment/>
    </xf>
    <xf numFmtId="165" fontId="18" fillId="0" borderId="44" xfId="60" applyNumberFormat="1" applyFont="1" applyBorder="1" applyAlignment="1">
      <alignment/>
    </xf>
    <xf numFmtId="170" fontId="22" fillId="33" borderId="19" xfId="60" applyNumberFormat="1" applyFont="1" applyFill="1" applyBorder="1" applyAlignment="1">
      <alignment/>
    </xf>
    <xf numFmtId="166" fontId="18" fillId="0" borderId="44" xfId="60" applyNumberFormat="1" applyFont="1" applyBorder="1" applyAlignment="1">
      <alignment/>
    </xf>
    <xf numFmtId="167" fontId="22" fillId="33" borderId="45" xfId="60" applyNumberFormat="1" applyFont="1" applyFill="1" applyBorder="1" applyAlignment="1">
      <alignment/>
    </xf>
    <xf numFmtId="165" fontId="18" fillId="0" borderId="47" xfId="60" applyNumberFormat="1" applyFont="1" applyBorder="1" applyAlignment="1">
      <alignment/>
    </xf>
    <xf numFmtId="0" fontId="22" fillId="42" borderId="48" xfId="0" applyFont="1" applyFill="1" applyBorder="1" applyAlignment="1" applyProtection="1">
      <alignment/>
      <protection/>
    </xf>
    <xf numFmtId="166" fontId="22" fillId="42" borderId="49" xfId="60" applyNumberFormat="1" applyFont="1" applyFill="1" applyBorder="1" applyAlignment="1">
      <alignment horizontal="center"/>
    </xf>
    <xf numFmtId="166" fontId="22" fillId="42" borderId="50" xfId="60" applyNumberFormat="1" applyFont="1" applyFill="1" applyBorder="1" applyAlignment="1">
      <alignment horizontal="center"/>
    </xf>
    <xf numFmtId="166" fontId="22" fillId="42" borderId="51" xfId="60" applyNumberFormat="1" applyFont="1" applyFill="1" applyBorder="1" applyAlignment="1">
      <alignment horizontal="center"/>
    </xf>
    <xf numFmtId="165" fontId="22" fillId="42" borderId="50" xfId="60" applyNumberFormat="1" applyFont="1" applyFill="1" applyBorder="1" applyAlignment="1">
      <alignment horizontal="center"/>
    </xf>
    <xf numFmtId="168" fontId="22" fillId="42" borderId="50" xfId="60" applyNumberFormat="1" applyFont="1" applyFill="1" applyBorder="1" applyAlignment="1">
      <alignment horizontal="center"/>
    </xf>
    <xf numFmtId="167" fontId="22" fillId="42" borderId="50" xfId="60" applyNumberFormat="1" applyFont="1" applyFill="1" applyBorder="1" applyAlignment="1">
      <alignment horizontal="center"/>
    </xf>
    <xf numFmtId="43" fontId="22" fillId="42" borderId="52" xfId="60" applyNumberFormat="1" applyFont="1" applyFill="1" applyBorder="1" applyAlignment="1">
      <alignment horizontal="center"/>
    </xf>
    <xf numFmtId="43" fontId="22" fillId="42" borderId="50" xfId="60" applyNumberFormat="1" applyFont="1" applyFill="1" applyBorder="1" applyAlignment="1">
      <alignment horizontal="center"/>
    </xf>
    <xf numFmtId="166" fontId="22" fillId="42" borderId="53" xfId="60" applyNumberFormat="1" applyFont="1" applyFill="1" applyBorder="1" applyAlignment="1">
      <alignment horizontal="center"/>
    </xf>
    <xf numFmtId="166" fontId="22" fillId="42" borderId="52" xfId="60" applyNumberFormat="1" applyFont="1" applyFill="1" applyBorder="1" applyAlignment="1">
      <alignment horizontal="center"/>
    </xf>
    <xf numFmtId="166" fontId="22" fillId="42" borderId="54" xfId="6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80;&#1077;_&#1076;&#1086;&#1082;&#1091;&#1084;&#1077;&#1085;&#1090;&#1099;_&#1086;&#1090;&#1076;&#1077;&#1083;&#1072;\&#1052;&#1054;&#1053;&#1048;&#1058;&#1054;&#1056;&#1048;&#1053;&#1043;&#1048;\&#1052;&#1086;&#1085;&#1103;%20&#1052;&#1054;%20&#1076;&#1083;&#1103;%20&#1086;&#1094;&#1077;&#1085;&#1082;&#1080;%20&#1082;&#1072;&#1095;&#1077;&#1089;&#1090;&#1074;&#1072;\2018\&#1052;&#1086;&#1085;&#1080;&#1090;&#1086;&#1088;&#1080;&#1085;&#1075;_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овой"/>
      <sheetName val="за 1 кв."/>
      <sheetName val="за 2 кв."/>
      <sheetName val="за 3 кв."/>
      <sheetName val="за 4 кв. (Р1 пл.ост.фак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3"/>
  <sheetViews>
    <sheetView tabSelected="1" view="pageBreakPreview" zoomScale="70" zoomScaleNormal="70" zoomScaleSheetLayoutView="7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F40" sqref="BF40"/>
    </sheetView>
  </sheetViews>
  <sheetFormatPr defaultColWidth="9.00390625" defaultRowHeight="12.75"/>
  <cols>
    <col min="1" max="1" width="21.375" style="0" customWidth="1"/>
    <col min="2" max="2" width="22.00390625" style="0" customWidth="1"/>
    <col min="3" max="3" width="20.25390625" style="0" customWidth="1"/>
    <col min="4" max="4" width="20.125" style="0" customWidth="1"/>
    <col min="5" max="5" width="32.875" style="0" customWidth="1"/>
    <col min="6" max="6" width="21.625" style="0" customWidth="1"/>
    <col min="7" max="7" width="23.75390625" style="0" customWidth="1"/>
    <col min="8" max="8" width="21.625" style="0" customWidth="1"/>
    <col min="9" max="10" width="20.125" style="0" customWidth="1"/>
    <col min="11" max="11" width="17.75390625" style="0" customWidth="1"/>
    <col min="12" max="12" width="17.375" style="0" customWidth="1"/>
    <col min="13" max="13" width="12.875" style="0" customWidth="1"/>
    <col min="14" max="14" width="19.625" style="0" customWidth="1"/>
    <col min="15" max="15" width="22.25390625" style="0" customWidth="1"/>
    <col min="16" max="16" width="17.125" style="0" customWidth="1"/>
    <col min="17" max="17" width="19.625" style="0" customWidth="1"/>
    <col min="18" max="18" width="21.625" style="0" customWidth="1"/>
    <col min="19" max="19" width="25.25390625" style="0" customWidth="1"/>
    <col min="20" max="20" width="24.25390625" style="0" customWidth="1"/>
    <col min="21" max="21" width="29.75390625" style="0" customWidth="1"/>
    <col min="22" max="22" width="18.00390625" style="0" customWidth="1"/>
    <col min="23" max="23" width="23.75390625" style="0" customWidth="1"/>
    <col min="24" max="24" width="14.00390625" style="0" customWidth="1"/>
    <col min="25" max="25" width="15.375" style="0" customWidth="1"/>
    <col min="26" max="26" width="15.125" style="0" customWidth="1"/>
    <col min="27" max="27" width="14.625" style="0" customWidth="1"/>
    <col min="28" max="28" width="20.75390625" style="0" hidden="1" customWidth="1"/>
    <col min="29" max="29" width="12.875" style="0" customWidth="1"/>
    <col min="30" max="30" width="13.25390625" style="0" customWidth="1"/>
    <col min="31" max="31" width="13.00390625" style="0" customWidth="1"/>
    <col min="32" max="32" width="15.25390625" style="0" hidden="1" customWidth="1"/>
    <col min="33" max="33" width="20.25390625" style="0" hidden="1" customWidth="1"/>
    <col min="34" max="34" width="36.625" style="0" hidden="1" customWidth="1"/>
    <col min="35" max="35" width="25.375" style="0" customWidth="1"/>
    <col min="36" max="36" width="10.75390625" style="0" customWidth="1"/>
    <col min="37" max="37" width="16.00390625" style="0" customWidth="1"/>
    <col min="38" max="38" width="13.125" style="0" customWidth="1"/>
    <col min="39" max="40" width="23.875" style="0" customWidth="1"/>
    <col min="41" max="41" width="46.00390625" style="0" customWidth="1"/>
    <col min="42" max="42" width="16.875" style="0" customWidth="1"/>
    <col min="43" max="43" width="21.125" style="0" customWidth="1"/>
    <col min="44" max="44" width="14.75390625" style="0" customWidth="1"/>
    <col min="45" max="45" width="27.25390625" style="0" customWidth="1"/>
    <col min="46" max="46" width="24.375" style="0" customWidth="1"/>
    <col min="47" max="47" width="27.25390625" style="0" customWidth="1"/>
    <col min="48" max="48" width="16.875" style="0" customWidth="1"/>
    <col min="49" max="49" width="21.125" style="0" customWidth="1"/>
    <col min="50" max="50" width="14.75390625" style="0" customWidth="1"/>
    <col min="51" max="51" width="13.875" style="0" customWidth="1"/>
    <col min="52" max="16384" width="9.125" style="7" customWidth="1"/>
  </cols>
  <sheetData>
    <row r="1" spans="1:51" s="6" customFormat="1" ht="16.5" customHeight="1">
      <c r="A1" s="1"/>
      <c r="B1" s="2" t="s">
        <v>0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1"/>
      <c r="O1" s="1"/>
      <c r="P1" s="1"/>
      <c r="Q1" s="1"/>
      <c r="R1" s="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4"/>
      <c r="AM1" s="4"/>
      <c r="AN1" s="5"/>
      <c r="AO1" s="5"/>
      <c r="AP1" s="5"/>
      <c r="AQ1" s="4"/>
      <c r="AR1" s="1"/>
      <c r="AS1" s="4"/>
      <c r="AT1" s="4"/>
      <c r="AU1" s="5"/>
      <c r="AV1" s="5"/>
      <c r="AW1" s="4"/>
      <c r="AX1" s="1"/>
      <c r="AY1" s="1"/>
    </row>
    <row r="2" spans="2:8" ht="12.75" customHeight="1" hidden="1">
      <c r="B2" s="2"/>
      <c r="C2" s="2"/>
      <c r="D2" s="2"/>
      <c r="E2" s="2"/>
      <c r="F2" s="2"/>
      <c r="G2" s="2"/>
      <c r="H2" s="2"/>
    </row>
    <row r="3" spans="2:41" ht="13.5" thickBot="1">
      <c r="B3" s="8"/>
      <c r="C3" s="8"/>
      <c r="D3" s="8"/>
      <c r="E3" s="8"/>
      <c r="F3" s="8"/>
      <c r="G3" s="8"/>
      <c r="H3" s="8"/>
      <c r="I3" s="9"/>
      <c r="K3" s="10"/>
      <c r="L3" s="9"/>
      <c r="M3" s="9"/>
      <c r="T3" s="9"/>
      <c r="Y3" s="11"/>
      <c r="AE3" s="9"/>
      <c r="AM3" s="9"/>
      <c r="AN3" s="9"/>
      <c r="AO3" s="9"/>
    </row>
    <row r="4" spans="1:51" ht="13.5" thickTop="1">
      <c r="A4" s="12" t="s">
        <v>1</v>
      </c>
      <c r="B4" s="13"/>
      <c r="C4" s="14"/>
      <c r="D4" s="14"/>
      <c r="E4" s="14"/>
      <c r="F4" s="14"/>
      <c r="G4" s="14"/>
      <c r="H4" s="15"/>
      <c r="I4" s="16"/>
      <c r="J4" s="17"/>
      <c r="K4" s="17"/>
      <c r="L4" s="17"/>
      <c r="M4" s="17"/>
      <c r="N4" s="17"/>
      <c r="O4" s="17"/>
      <c r="P4" s="17"/>
      <c r="Q4" s="18"/>
      <c r="R4" s="16"/>
      <c r="S4" s="17"/>
      <c r="T4" s="17"/>
      <c r="U4" s="17"/>
      <c r="V4" s="17"/>
      <c r="W4" s="17"/>
      <c r="X4" s="18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9"/>
      <c r="AM4" s="16"/>
      <c r="AN4" s="17"/>
      <c r="AO4" s="17"/>
      <c r="AP4" s="17"/>
      <c r="AQ4" s="17"/>
      <c r="AR4" s="19"/>
      <c r="AS4" s="16"/>
      <c r="AT4" s="17"/>
      <c r="AU4" s="17"/>
      <c r="AV4" s="17"/>
      <c r="AW4" s="17"/>
      <c r="AX4" s="19"/>
      <c r="AY4" s="20"/>
    </row>
    <row r="5" spans="1:51" ht="13.5" thickBot="1">
      <c r="A5" s="21"/>
      <c r="B5" s="22"/>
      <c r="C5" s="23"/>
      <c r="D5" s="23"/>
      <c r="E5" s="24" t="s">
        <v>2</v>
      </c>
      <c r="F5" s="25"/>
      <c r="G5" s="26"/>
      <c r="H5" s="27"/>
      <c r="I5" s="28"/>
      <c r="J5" s="23"/>
      <c r="K5" s="23"/>
      <c r="L5" s="29"/>
      <c r="M5" s="29"/>
      <c r="N5" s="24" t="s">
        <v>3</v>
      </c>
      <c r="O5" s="25"/>
      <c r="P5" s="26"/>
      <c r="Q5" s="27"/>
      <c r="R5" s="28"/>
      <c r="S5" s="23"/>
      <c r="T5" s="23"/>
      <c r="U5" s="24" t="s">
        <v>4</v>
      </c>
      <c r="V5" s="25"/>
      <c r="W5" s="26"/>
      <c r="X5" s="27"/>
      <c r="Y5" s="30"/>
      <c r="Z5" s="23"/>
      <c r="AA5" s="23"/>
      <c r="AB5" s="29"/>
      <c r="AC5" s="29"/>
      <c r="AD5" s="29"/>
      <c r="AE5" s="29"/>
      <c r="AF5" s="29"/>
      <c r="AG5" s="29"/>
      <c r="AH5" s="29"/>
      <c r="AI5" s="24" t="s">
        <v>5</v>
      </c>
      <c r="AJ5" s="25"/>
      <c r="AK5" s="26"/>
      <c r="AL5" s="31"/>
      <c r="AM5" s="28"/>
      <c r="AN5" s="23"/>
      <c r="AO5" s="24" t="s">
        <v>6</v>
      </c>
      <c r="AP5" s="25"/>
      <c r="AQ5" s="26"/>
      <c r="AR5" s="31"/>
      <c r="AS5" s="28"/>
      <c r="AT5" s="23"/>
      <c r="AU5" s="24" t="s">
        <v>7</v>
      </c>
      <c r="AV5" s="25"/>
      <c r="AW5" s="26"/>
      <c r="AX5" s="31"/>
      <c r="AY5" s="32"/>
    </row>
    <row r="6" spans="1:51" ht="159.75" customHeight="1" thickBot="1">
      <c r="A6" s="21"/>
      <c r="B6" s="33" t="s">
        <v>8</v>
      </c>
      <c r="C6" s="33" t="s">
        <v>9</v>
      </c>
      <c r="D6" s="33" t="s">
        <v>10</v>
      </c>
      <c r="E6" s="33" t="s">
        <v>11</v>
      </c>
      <c r="F6" s="34" t="s">
        <v>12</v>
      </c>
      <c r="G6" s="34" t="s">
        <v>13</v>
      </c>
      <c r="H6" s="35" t="s">
        <v>14</v>
      </c>
      <c r="I6" s="33" t="s">
        <v>15</v>
      </c>
      <c r="J6" s="33" t="s">
        <v>16</v>
      </c>
      <c r="K6" s="33" t="s">
        <v>17</v>
      </c>
      <c r="L6" s="33" t="s">
        <v>18</v>
      </c>
      <c r="M6" s="33" t="s">
        <v>19</v>
      </c>
      <c r="N6" s="33" t="s">
        <v>20</v>
      </c>
      <c r="O6" s="34" t="s">
        <v>12</v>
      </c>
      <c r="P6" s="34" t="s">
        <v>13</v>
      </c>
      <c r="Q6" s="35" t="s">
        <v>14</v>
      </c>
      <c r="R6" s="33" t="s">
        <v>21</v>
      </c>
      <c r="S6" s="33" t="s">
        <v>22</v>
      </c>
      <c r="T6" s="33" t="s">
        <v>23</v>
      </c>
      <c r="U6" s="33" t="s">
        <v>24</v>
      </c>
      <c r="V6" s="34" t="s">
        <v>12</v>
      </c>
      <c r="W6" s="34" t="s">
        <v>13</v>
      </c>
      <c r="X6" s="35" t="s">
        <v>14</v>
      </c>
      <c r="Y6" s="33" t="s">
        <v>25</v>
      </c>
      <c r="Z6" s="33" t="s">
        <v>26</v>
      </c>
      <c r="AA6" s="33" t="s">
        <v>27</v>
      </c>
      <c r="AB6" s="33" t="s">
        <v>28</v>
      </c>
      <c r="AC6" s="33" t="s">
        <v>29</v>
      </c>
      <c r="AD6" s="33" t="s">
        <v>30</v>
      </c>
      <c r="AE6" s="33" t="s">
        <v>31</v>
      </c>
      <c r="AF6" s="36" t="s">
        <v>32</v>
      </c>
      <c r="AG6" s="36" t="s">
        <v>33</v>
      </c>
      <c r="AH6" s="36" t="s">
        <v>34</v>
      </c>
      <c r="AI6" s="33" t="s">
        <v>35</v>
      </c>
      <c r="AJ6" s="34" t="s">
        <v>12</v>
      </c>
      <c r="AK6" s="34" t="s">
        <v>13</v>
      </c>
      <c r="AL6" s="34" t="s">
        <v>14</v>
      </c>
      <c r="AM6" s="37" t="s">
        <v>36</v>
      </c>
      <c r="AN6" s="33" t="s">
        <v>37</v>
      </c>
      <c r="AO6" s="33" t="s">
        <v>38</v>
      </c>
      <c r="AP6" s="34" t="s">
        <v>12</v>
      </c>
      <c r="AQ6" s="34" t="s">
        <v>13</v>
      </c>
      <c r="AR6" s="34" t="s">
        <v>14</v>
      </c>
      <c r="AS6" s="37" t="s">
        <v>39</v>
      </c>
      <c r="AT6" s="33" t="s">
        <v>40</v>
      </c>
      <c r="AU6" s="33" t="s">
        <v>41</v>
      </c>
      <c r="AV6" s="34" t="s">
        <v>12</v>
      </c>
      <c r="AW6" s="34" t="s">
        <v>13</v>
      </c>
      <c r="AX6" s="34" t="s">
        <v>14</v>
      </c>
      <c r="AY6" s="38" t="s">
        <v>42</v>
      </c>
    </row>
    <row r="7" spans="1:51" ht="52.5" thickBot="1" thickTop="1">
      <c r="A7" s="39"/>
      <c r="B7" s="40" t="s">
        <v>43</v>
      </c>
      <c r="C7" s="40" t="s">
        <v>44</v>
      </c>
      <c r="D7" s="40" t="s">
        <v>45</v>
      </c>
      <c r="E7" s="40" t="s">
        <v>46</v>
      </c>
      <c r="F7" s="40" t="s">
        <v>47</v>
      </c>
      <c r="G7" s="40" t="s">
        <v>47</v>
      </c>
      <c r="H7" s="41">
        <v>1</v>
      </c>
      <c r="I7" s="40" t="s">
        <v>43</v>
      </c>
      <c r="J7" s="40" t="s">
        <v>44</v>
      </c>
      <c r="K7" s="40" t="s">
        <v>45</v>
      </c>
      <c r="L7" s="40" t="s">
        <v>48</v>
      </c>
      <c r="M7" s="40"/>
      <c r="N7" s="40" t="s">
        <v>49</v>
      </c>
      <c r="O7" s="42" t="s">
        <v>47</v>
      </c>
      <c r="P7" s="43" t="s">
        <v>50</v>
      </c>
      <c r="Q7" s="41">
        <v>1</v>
      </c>
      <c r="R7" s="40" t="s">
        <v>43</v>
      </c>
      <c r="S7" s="40" t="s">
        <v>44</v>
      </c>
      <c r="T7" s="40" t="s">
        <v>45</v>
      </c>
      <c r="U7" s="40" t="s">
        <v>51</v>
      </c>
      <c r="V7" s="40" t="s">
        <v>52</v>
      </c>
      <c r="W7" s="40" t="s">
        <v>52</v>
      </c>
      <c r="X7" s="41">
        <v>1</v>
      </c>
      <c r="Y7" s="40" t="s">
        <v>43</v>
      </c>
      <c r="Z7" s="40" t="s">
        <v>44</v>
      </c>
      <c r="AA7" s="40" t="s">
        <v>45</v>
      </c>
      <c r="AB7" s="40" t="s">
        <v>53</v>
      </c>
      <c r="AC7" s="40" t="s">
        <v>48</v>
      </c>
      <c r="AD7" s="40" t="s">
        <v>54</v>
      </c>
      <c r="AE7" s="40" t="s">
        <v>55</v>
      </c>
      <c r="AF7" s="44"/>
      <c r="AG7" s="44"/>
      <c r="AH7" s="44"/>
      <c r="AI7" s="40" t="s">
        <v>56</v>
      </c>
      <c r="AJ7" s="40" t="s">
        <v>57</v>
      </c>
      <c r="AK7" s="40" t="s">
        <v>58</v>
      </c>
      <c r="AL7" s="40">
        <v>1.5</v>
      </c>
      <c r="AM7" s="40" t="s">
        <v>43</v>
      </c>
      <c r="AN7" s="40" t="s">
        <v>44</v>
      </c>
      <c r="AO7" s="40" t="s">
        <v>59</v>
      </c>
      <c r="AP7" s="40" t="s">
        <v>47</v>
      </c>
      <c r="AQ7" s="40" t="s">
        <v>47</v>
      </c>
      <c r="AR7" s="40">
        <v>1</v>
      </c>
      <c r="AS7" s="40" t="s">
        <v>43</v>
      </c>
      <c r="AT7" s="40" t="s">
        <v>44</v>
      </c>
      <c r="AU7" s="40" t="s">
        <v>59</v>
      </c>
      <c r="AV7" s="40" t="s">
        <v>47</v>
      </c>
      <c r="AW7" s="40" t="s">
        <v>47</v>
      </c>
      <c r="AX7" s="40">
        <v>1</v>
      </c>
      <c r="AY7" s="45"/>
    </row>
    <row r="8" spans="1:51" ht="15" thickBot="1" thickTop="1">
      <c r="A8" s="46"/>
      <c r="B8" s="47" t="s">
        <v>60</v>
      </c>
      <c r="C8" s="47" t="s">
        <v>60</v>
      </c>
      <c r="D8" s="47" t="s">
        <v>60</v>
      </c>
      <c r="E8" s="47"/>
      <c r="F8" s="47"/>
      <c r="G8" s="47"/>
      <c r="H8" s="48"/>
      <c r="I8" s="49"/>
      <c r="J8" s="47"/>
      <c r="K8" s="47"/>
      <c r="L8" s="50"/>
      <c r="M8" s="50"/>
      <c r="N8" s="47"/>
      <c r="O8" s="47"/>
      <c r="P8" s="47"/>
      <c r="Q8" s="48"/>
      <c r="R8" s="49"/>
      <c r="S8" s="47"/>
      <c r="T8" s="47"/>
      <c r="U8" s="47"/>
      <c r="V8" s="47"/>
      <c r="W8" s="47"/>
      <c r="X8" s="48"/>
      <c r="Y8" s="51" t="s">
        <v>60</v>
      </c>
      <c r="Z8" s="47"/>
      <c r="AA8" s="47"/>
      <c r="AB8" s="50"/>
      <c r="AC8" s="51"/>
      <c r="AD8" s="47"/>
      <c r="AE8" s="47"/>
      <c r="AF8" s="47"/>
      <c r="AG8" s="47"/>
      <c r="AH8" s="47"/>
      <c r="AI8" s="47"/>
      <c r="AJ8" s="47"/>
      <c r="AK8" s="47"/>
      <c r="AL8" s="47"/>
      <c r="AM8" s="52"/>
      <c r="AN8" s="47"/>
      <c r="AO8" s="47"/>
      <c r="AP8" s="47"/>
      <c r="AQ8" s="47"/>
      <c r="AR8" s="47"/>
      <c r="AS8" s="52"/>
      <c r="AT8" s="47"/>
      <c r="AU8" s="47"/>
      <c r="AV8" s="47"/>
      <c r="AW8" s="47"/>
      <c r="AX8" s="47"/>
      <c r="AY8" s="53"/>
    </row>
    <row r="9" spans="1:51" ht="14.25" thickBot="1" thickTop="1">
      <c r="A9" s="54"/>
      <c r="B9" s="55"/>
      <c r="C9" s="55"/>
      <c r="D9" s="55"/>
      <c r="E9" s="55"/>
      <c r="F9" s="55"/>
      <c r="G9" s="55"/>
      <c r="H9" s="56"/>
      <c r="I9" s="57"/>
      <c r="J9" s="55"/>
      <c r="K9" s="55"/>
      <c r="L9" s="55"/>
      <c r="M9" s="55"/>
      <c r="N9" s="55"/>
      <c r="O9" s="55"/>
      <c r="P9" s="55"/>
      <c r="Q9" s="56"/>
      <c r="R9" s="57"/>
      <c r="S9" s="55"/>
      <c r="T9" s="55"/>
      <c r="U9" s="55"/>
      <c r="V9" s="55"/>
      <c r="W9" s="55"/>
      <c r="X9" s="56"/>
      <c r="Y9" s="58"/>
      <c r="Z9" s="55"/>
      <c r="AA9" s="55"/>
      <c r="AB9" s="55"/>
      <c r="AC9" s="55"/>
      <c r="AD9" s="55"/>
      <c r="AE9" s="55"/>
      <c r="AF9" s="55"/>
      <c r="AG9" s="55"/>
      <c r="AH9" s="55"/>
      <c r="AI9" s="59" t="s">
        <v>61</v>
      </c>
      <c r="AJ9" s="55"/>
      <c r="AK9" s="55"/>
      <c r="AL9" s="55"/>
      <c r="AM9" s="57"/>
      <c r="AN9" s="55"/>
      <c r="AO9" s="55"/>
      <c r="AP9" s="55"/>
      <c r="AQ9" s="55"/>
      <c r="AR9" s="55"/>
      <c r="AS9" s="57"/>
      <c r="AT9" s="55"/>
      <c r="AU9" s="55"/>
      <c r="AV9" s="55"/>
      <c r="AW9" s="55"/>
      <c r="AX9" s="55"/>
      <c r="AY9" s="60"/>
    </row>
    <row r="10" spans="1:51" ht="13.5" thickTop="1">
      <c r="A10" s="61" t="s">
        <v>62</v>
      </c>
      <c r="B10" s="62">
        <v>2086478.35</v>
      </c>
      <c r="C10" s="62">
        <v>394048.6592</v>
      </c>
      <c r="D10" s="62">
        <v>2114382.35</v>
      </c>
      <c r="E10" s="63">
        <f>IF(AND(B10=0,D10=0),0,B10/(IF(C10&gt;0,C10,0)+D10))</f>
        <v>0.8317862210870328</v>
      </c>
      <c r="F10" s="64">
        <f>IF(E10&lt;=1.05,1,0)</f>
        <v>1</v>
      </c>
      <c r="G10" s="65"/>
      <c r="H10" s="66">
        <f aca="true" t="shared" si="0" ref="H10:H42">F10+G10</f>
        <v>1</v>
      </c>
      <c r="I10" s="67">
        <v>2294561.08</v>
      </c>
      <c r="J10" s="62">
        <v>8784151.39258</v>
      </c>
      <c r="K10" s="68">
        <v>5874388.84499</v>
      </c>
      <c r="L10" s="67">
        <v>115217.091</v>
      </c>
      <c r="M10" s="67">
        <v>0</v>
      </c>
      <c r="N10" s="69">
        <f>(I10-M10)/(J10-K10-L10)</f>
        <v>0.8210856168358419</v>
      </c>
      <c r="O10" s="64">
        <f aca="true" t="shared" si="1" ref="O10:O16">IF(N10&lt;=1,1,0)</f>
        <v>1</v>
      </c>
      <c r="P10" s="65"/>
      <c r="Q10" s="66">
        <f aca="true" t="shared" si="2" ref="Q10:Q42">O10+P10</f>
        <v>1</v>
      </c>
      <c r="R10" s="70">
        <v>215857.565</v>
      </c>
      <c r="S10" s="62">
        <v>9178200.05178</v>
      </c>
      <c r="T10" s="68">
        <v>2746970.4576999997</v>
      </c>
      <c r="U10" s="63">
        <f aca="true" t="shared" si="3" ref="U10:U42">R10/(S10-T10)</f>
        <v>0.03356396499958556</v>
      </c>
      <c r="V10" s="64">
        <f aca="true" t="shared" si="4" ref="V10:V16">IF(U10&lt;=0.15,1,0)</f>
        <v>1</v>
      </c>
      <c r="W10" s="65"/>
      <c r="X10" s="66">
        <f>V10+W10</f>
        <v>1</v>
      </c>
      <c r="Y10" s="62">
        <f>C10</f>
        <v>394048.6592</v>
      </c>
      <c r="Z10" s="71">
        <v>22323.2</v>
      </c>
      <c r="AA10" s="72">
        <v>399629.4592</v>
      </c>
      <c r="AB10" s="73"/>
      <c r="AC10" s="73">
        <f aca="true" t="shared" si="5" ref="AC10:AE42">J10</f>
        <v>8784151.39258</v>
      </c>
      <c r="AD10" s="73">
        <f t="shared" si="5"/>
        <v>5874388.84499</v>
      </c>
      <c r="AE10" s="73">
        <f t="shared" si="5"/>
        <v>115217.091</v>
      </c>
      <c r="AF10" s="73">
        <f>AC10-AD10-AE10</f>
        <v>2794545.4565900005</v>
      </c>
      <c r="AG10" s="73">
        <f aca="true" t="shared" si="6" ref="AG10:AG17">AF10*10%</f>
        <v>279454.54565900005</v>
      </c>
      <c r="AH10" s="73">
        <f aca="true" t="shared" si="7" ref="AH10:AH15">IF(AA10&gt;0,AA10,0)+AG10+IF(AB10&gt;0,AB10,0)</f>
        <v>679084.004859</v>
      </c>
      <c r="AI10" s="74">
        <f aca="true" t="shared" si="8" ref="AI10:AI42">IF((Y10-IF(Z10&gt;0,Z10,0)-IF(AA10&gt;0,AA10,0)-IF(AB10&gt;0,AB10,0))/(AC10-AD10-AE10)&gt;0,(Y10-IF(Z10&gt;0,Z10,0)-IF(AA10&gt;0,AA10,0)-IF(AB10&gt;0,AB10,0))/(AC10-AD10-AE10),0)</f>
        <v>0</v>
      </c>
      <c r="AJ10" s="75">
        <f>IF(AI10&lt;=0.1,1.5,0)</f>
        <v>1.5</v>
      </c>
      <c r="AK10" s="76"/>
      <c r="AL10" s="77">
        <f aca="true" t="shared" si="9" ref="AL10:AL42">AJ10+AK10</f>
        <v>1.5</v>
      </c>
      <c r="AM10" s="78">
        <v>220290</v>
      </c>
      <c r="AN10" s="76">
        <v>233258</v>
      </c>
      <c r="AO10" s="79">
        <f aca="true" t="shared" si="10" ref="AO10:AO42">AM10/AN10</f>
        <v>0.9444049078702552</v>
      </c>
      <c r="AP10" s="80">
        <f>IF(AO10&lt;=1,1,0)</f>
        <v>1</v>
      </c>
      <c r="AQ10" s="65"/>
      <c r="AR10" s="81">
        <f>AP10+AQ10</f>
        <v>1</v>
      </c>
      <c r="AS10" s="78">
        <v>424196</v>
      </c>
      <c r="AT10" s="76">
        <v>425104</v>
      </c>
      <c r="AU10" s="74">
        <f>AS10/AT10</f>
        <v>0.9978640520907824</v>
      </c>
      <c r="AV10" s="80">
        <f>IF(AU10&lt;=1,1,0)</f>
        <v>1</v>
      </c>
      <c r="AW10" s="65"/>
      <c r="AX10" s="81">
        <f aca="true" t="shared" si="11" ref="AX10:AX42">AV10+AW10</f>
        <v>1</v>
      </c>
      <c r="AY10" s="82">
        <f aca="true" t="shared" si="12" ref="AY10:AY42">H10+Q10+X10+AL10+AR10+AX10</f>
        <v>6.5</v>
      </c>
    </row>
    <row r="11" spans="1:51" ht="12.75">
      <c r="A11" s="83" t="s">
        <v>63</v>
      </c>
      <c r="B11" s="84">
        <v>26000</v>
      </c>
      <c r="C11" s="84">
        <v>2325.03413</v>
      </c>
      <c r="D11" s="84">
        <v>26620</v>
      </c>
      <c r="E11" s="85">
        <f aca="true" t="shared" si="13" ref="E11:E42">IF(AND(B11=0,D11=0),0,B11/(IF(C11&gt;0,C11,0)+D11))</f>
        <v>0.8982542526371518</v>
      </c>
      <c r="F11" s="86"/>
      <c r="G11" s="87">
        <f>IF(E11&lt;=1.05,1,0)</f>
        <v>1</v>
      </c>
      <c r="H11" s="88">
        <f t="shared" si="0"/>
        <v>1</v>
      </c>
      <c r="I11" s="84">
        <v>26000</v>
      </c>
      <c r="J11" s="84">
        <v>772620.8108099999</v>
      </c>
      <c r="K11" s="89">
        <v>556058.21081</v>
      </c>
      <c r="L11" s="84">
        <v>154196.252</v>
      </c>
      <c r="M11" s="84">
        <v>0</v>
      </c>
      <c r="N11" s="85">
        <f>(I11-M11)/(J11-K11-L11)</f>
        <v>0.41689149411153614</v>
      </c>
      <c r="O11" s="86"/>
      <c r="P11" s="87">
        <f>IF(N11&lt;=0.5,1,0)</f>
        <v>1</v>
      </c>
      <c r="Q11" s="88">
        <f t="shared" si="2"/>
        <v>1</v>
      </c>
      <c r="R11" s="90">
        <v>2260.587</v>
      </c>
      <c r="S11" s="84">
        <v>774945.8449400001</v>
      </c>
      <c r="T11" s="89">
        <v>392269.91901</v>
      </c>
      <c r="U11" s="85">
        <f t="shared" si="3"/>
        <v>0.005907314379670467</v>
      </c>
      <c r="V11" s="86"/>
      <c r="W11" s="87">
        <f>IF(U11&lt;=0.15,1,0)</f>
        <v>1</v>
      </c>
      <c r="X11" s="88">
        <f aca="true" t="shared" si="14" ref="X11:X42">V11+W11</f>
        <v>1</v>
      </c>
      <c r="Y11" s="84">
        <f aca="true" t="shared" si="15" ref="Y11:Y42">C11</f>
        <v>2325.03413</v>
      </c>
      <c r="Z11" s="91"/>
      <c r="AA11" s="91">
        <v>2945.03413</v>
      </c>
      <c r="AB11" s="91"/>
      <c r="AC11" s="91">
        <f t="shared" si="5"/>
        <v>772620.8108099999</v>
      </c>
      <c r="AD11" s="91">
        <f t="shared" si="5"/>
        <v>556058.21081</v>
      </c>
      <c r="AE11" s="91">
        <f t="shared" si="5"/>
        <v>154196.252</v>
      </c>
      <c r="AF11" s="91">
        <f aca="true" t="shared" si="16" ref="AF11:AF42">AC11-AD11-AE11</f>
        <v>62366.34799999997</v>
      </c>
      <c r="AG11" s="91">
        <f t="shared" si="6"/>
        <v>6236.634799999997</v>
      </c>
      <c r="AH11" s="91">
        <f t="shared" si="7"/>
        <v>9181.668929999996</v>
      </c>
      <c r="AI11" s="92">
        <f t="shared" si="8"/>
        <v>0</v>
      </c>
      <c r="AJ11" s="93"/>
      <c r="AK11" s="94">
        <f>IF(AI11&lt;=0.05,1.5,0)</f>
        <v>1.5</v>
      </c>
      <c r="AL11" s="88">
        <f t="shared" si="9"/>
        <v>1.5</v>
      </c>
      <c r="AM11" s="95">
        <v>27061</v>
      </c>
      <c r="AN11" s="87">
        <v>27112</v>
      </c>
      <c r="AO11" s="96">
        <f t="shared" si="10"/>
        <v>0.9981189141339628</v>
      </c>
      <c r="AP11" s="93"/>
      <c r="AQ11" s="94">
        <f>IF(AO11&lt;=1,1,0)</f>
        <v>1</v>
      </c>
      <c r="AR11" s="97">
        <f aca="true" t="shared" si="17" ref="AR11:AR42">AP11+AQ11</f>
        <v>1</v>
      </c>
      <c r="AS11" s="95">
        <v>65360</v>
      </c>
      <c r="AT11" s="87">
        <v>66609</v>
      </c>
      <c r="AU11" s="92">
        <f aca="true" t="shared" si="18" ref="AU11:AU42">AS11/AT11</f>
        <v>0.9812487801948686</v>
      </c>
      <c r="AV11" s="93"/>
      <c r="AW11" s="94">
        <f>IF(AU11&lt;=1,1,0)</f>
        <v>1</v>
      </c>
      <c r="AX11" s="97">
        <f t="shared" si="11"/>
        <v>1</v>
      </c>
      <c r="AY11" s="98">
        <f t="shared" si="12"/>
        <v>6.5</v>
      </c>
    </row>
    <row r="12" spans="1:51" ht="12.75">
      <c r="A12" s="99" t="s">
        <v>64</v>
      </c>
      <c r="B12" s="62">
        <v>0</v>
      </c>
      <c r="C12" s="62">
        <v>18165.85644</v>
      </c>
      <c r="D12" s="62">
        <v>0</v>
      </c>
      <c r="E12" s="63">
        <f t="shared" si="13"/>
        <v>0</v>
      </c>
      <c r="F12" s="100">
        <f aca="true" t="shared" si="19" ref="F12:F17">IF(E12&lt;=1.05,1,0)</f>
        <v>1</v>
      </c>
      <c r="G12" s="65"/>
      <c r="H12" s="66">
        <f t="shared" si="0"/>
        <v>1</v>
      </c>
      <c r="I12" s="67">
        <v>75000</v>
      </c>
      <c r="J12" s="62">
        <v>976715.4309299999</v>
      </c>
      <c r="K12" s="68">
        <v>561076.6569299999</v>
      </c>
      <c r="L12" s="67">
        <v>160274.777</v>
      </c>
      <c r="M12" s="67">
        <v>0</v>
      </c>
      <c r="N12" s="63">
        <f aca="true" t="shared" si="20" ref="N12:N41">(I12-M12)/(J12-K12-L12)</f>
        <v>0.2936984104301908</v>
      </c>
      <c r="O12" s="64">
        <f t="shared" si="1"/>
        <v>1</v>
      </c>
      <c r="P12" s="65"/>
      <c r="Q12" s="66">
        <f t="shared" si="2"/>
        <v>1</v>
      </c>
      <c r="R12" s="101">
        <v>8144.65</v>
      </c>
      <c r="S12" s="62">
        <v>994881.28737</v>
      </c>
      <c r="T12" s="68">
        <v>472852.49373000005</v>
      </c>
      <c r="U12" s="63">
        <f t="shared" si="3"/>
        <v>0.015601917172439897</v>
      </c>
      <c r="V12" s="64">
        <f t="shared" si="4"/>
        <v>1</v>
      </c>
      <c r="W12" s="65"/>
      <c r="X12" s="66">
        <f t="shared" si="14"/>
        <v>1</v>
      </c>
      <c r="Y12" s="62">
        <f t="shared" si="15"/>
        <v>18165.85644</v>
      </c>
      <c r="Z12" s="72"/>
      <c r="AA12" s="72">
        <v>18165.85644</v>
      </c>
      <c r="AB12" s="73"/>
      <c r="AC12" s="73">
        <f t="shared" si="5"/>
        <v>976715.4309299999</v>
      </c>
      <c r="AD12" s="73">
        <f t="shared" si="5"/>
        <v>561076.6569299999</v>
      </c>
      <c r="AE12" s="73">
        <f t="shared" si="5"/>
        <v>160274.777</v>
      </c>
      <c r="AF12" s="73">
        <f t="shared" si="16"/>
        <v>255363.99699999997</v>
      </c>
      <c r="AG12" s="73">
        <f t="shared" si="6"/>
        <v>25536.399699999998</v>
      </c>
      <c r="AH12" s="73">
        <f t="shared" si="7"/>
        <v>43702.25614</v>
      </c>
      <c r="AI12" s="74">
        <f t="shared" si="8"/>
        <v>0</v>
      </c>
      <c r="AJ12" s="75">
        <f aca="true" t="shared" si="21" ref="AJ12:AJ17">IF(AI12&lt;=0.1,1.5,0)</f>
        <v>1.5</v>
      </c>
      <c r="AK12" s="65"/>
      <c r="AL12" s="66">
        <f t="shared" si="9"/>
        <v>1.5</v>
      </c>
      <c r="AM12" s="78">
        <v>30815</v>
      </c>
      <c r="AN12" s="76">
        <v>30978</v>
      </c>
      <c r="AO12" s="79">
        <f t="shared" si="10"/>
        <v>0.9947382013041514</v>
      </c>
      <c r="AP12" s="80">
        <f aca="true" t="shared" si="22" ref="AP12:AP17">IF(AO12&lt;=1,1,0)</f>
        <v>1</v>
      </c>
      <c r="AQ12" s="65"/>
      <c r="AR12" s="81">
        <f t="shared" si="17"/>
        <v>1</v>
      </c>
      <c r="AS12" s="78">
        <v>59375</v>
      </c>
      <c r="AT12" s="76">
        <v>68014</v>
      </c>
      <c r="AU12" s="74">
        <f t="shared" si="18"/>
        <v>0.8729820331108301</v>
      </c>
      <c r="AV12" s="80">
        <f aca="true" t="shared" si="23" ref="AV12:AV17">IF(AU12&lt;=1,1,0)</f>
        <v>1</v>
      </c>
      <c r="AW12" s="65"/>
      <c r="AX12" s="81">
        <f t="shared" si="11"/>
        <v>1</v>
      </c>
      <c r="AY12" s="102">
        <f t="shared" si="12"/>
        <v>6.5</v>
      </c>
    </row>
    <row r="13" spans="1:51" ht="12.75">
      <c r="A13" s="99" t="s">
        <v>65</v>
      </c>
      <c r="B13" s="62">
        <v>33000</v>
      </c>
      <c r="C13" s="62">
        <v>13331.22217</v>
      </c>
      <c r="D13" s="62">
        <v>32000</v>
      </c>
      <c r="E13" s="63">
        <f t="shared" si="13"/>
        <v>0.727975078109393</v>
      </c>
      <c r="F13" s="64">
        <f t="shared" si="19"/>
        <v>1</v>
      </c>
      <c r="G13" s="65"/>
      <c r="H13" s="66">
        <f t="shared" si="0"/>
        <v>1</v>
      </c>
      <c r="I13" s="67">
        <v>33000</v>
      </c>
      <c r="J13" s="62">
        <v>650267.87332</v>
      </c>
      <c r="K13" s="68">
        <v>377667.87332</v>
      </c>
      <c r="L13" s="67">
        <v>83076.308</v>
      </c>
      <c r="M13" s="67">
        <v>0</v>
      </c>
      <c r="N13" s="63">
        <f t="shared" si="20"/>
        <v>0.17412071098741577</v>
      </c>
      <c r="O13" s="64">
        <f t="shared" si="1"/>
        <v>1</v>
      </c>
      <c r="P13" s="65"/>
      <c r="Q13" s="66">
        <f t="shared" si="2"/>
        <v>1</v>
      </c>
      <c r="R13" s="101">
        <v>2711.713</v>
      </c>
      <c r="S13" s="62">
        <v>663599.09549</v>
      </c>
      <c r="T13" s="68">
        <v>250209.236</v>
      </c>
      <c r="U13" s="63">
        <f t="shared" si="3"/>
        <v>0.006559698884112559</v>
      </c>
      <c r="V13" s="64">
        <f t="shared" si="4"/>
        <v>1</v>
      </c>
      <c r="W13" s="65"/>
      <c r="X13" s="66">
        <f t="shared" si="14"/>
        <v>1</v>
      </c>
      <c r="Y13" s="62">
        <f t="shared" si="15"/>
        <v>13331.22217</v>
      </c>
      <c r="Z13" s="72"/>
      <c r="AA13" s="72">
        <v>12331.22217</v>
      </c>
      <c r="AB13" s="73"/>
      <c r="AC13" s="73">
        <f t="shared" si="5"/>
        <v>650267.87332</v>
      </c>
      <c r="AD13" s="73">
        <f t="shared" si="5"/>
        <v>377667.87332</v>
      </c>
      <c r="AE13" s="73">
        <f t="shared" si="5"/>
        <v>83076.308</v>
      </c>
      <c r="AF13" s="73">
        <f t="shared" si="16"/>
        <v>189523.69199999998</v>
      </c>
      <c r="AG13" s="73">
        <f t="shared" si="6"/>
        <v>18952.369199999997</v>
      </c>
      <c r="AH13" s="73">
        <f t="shared" si="7"/>
        <v>31283.591369999995</v>
      </c>
      <c r="AI13" s="74">
        <f t="shared" si="8"/>
        <v>0.005276385181436842</v>
      </c>
      <c r="AJ13" s="75">
        <f t="shared" si="21"/>
        <v>1.5</v>
      </c>
      <c r="AK13" s="65"/>
      <c r="AL13" s="66">
        <f t="shared" si="9"/>
        <v>1.5</v>
      </c>
      <c r="AM13" s="78">
        <v>17734</v>
      </c>
      <c r="AN13" s="76">
        <v>17736</v>
      </c>
      <c r="AO13" s="103">
        <f t="shared" si="10"/>
        <v>0.9998872350022553</v>
      </c>
      <c r="AP13" s="80">
        <f t="shared" si="22"/>
        <v>1</v>
      </c>
      <c r="AQ13" s="65"/>
      <c r="AR13" s="81">
        <f t="shared" si="17"/>
        <v>1</v>
      </c>
      <c r="AS13" s="78">
        <v>34754</v>
      </c>
      <c r="AT13" s="76">
        <v>40768</v>
      </c>
      <c r="AU13" s="104">
        <f t="shared" si="18"/>
        <v>0.8524823390894819</v>
      </c>
      <c r="AV13" s="80">
        <f t="shared" si="23"/>
        <v>1</v>
      </c>
      <c r="AW13" s="65"/>
      <c r="AX13" s="81">
        <f t="shared" si="11"/>
        <v>1</v>
      </c>
      <c r="AY13" s="102">
        <f t="shared" si="12"/>
        <v>6.5</v>
      </c>
    </row>
    <row r="14" spans="1:51" s="9" customFormat="1" ht="12.75">
      <c r="A14" s="105" t="s">
        <v>66</v>
      </c>
      <c r="B14" s="62">
        <v>7000</v>
      </c>
      <c r="C14" s="62">
        <v>2967.8256699999997</v>
      </c>
      <c r="D14" s="62">
        <v>7000</v>
      </c>
      <c r="E14" s="69">
        <f t="shared" si="13"/>
        <v>0.7022594728023569</v>
      </c>
      <c r="F14" s="64">
        <f t="shared" si="19"/>
        <v>1</v>
      </c>
      <c r="G14" s="76"/>
      <c r="H14" s="77">
        <f t="shared" si="0"/>
        <v>1</v>
      </c>
      <c r="I14" s="62">
        <v>7000</v>
      </c>
      <c r="J14" s="62">
        <v>283123.41699</v>
      </c>
      <c r="K14" s="68">
        <v>178061.59269999998</v>
      </c>
      <c r="L14" s="62">
        <v>35768.4</v>
      </c>
      <c r="M14" s="62">
        <v>0</v>
      </c>
      <c r="N14" s="69">
        <f t="shared" si="20"/>
        <v>0.10101968652471681</v>
      </c>
      <c r="O14" s="64">
        <f t="shared" si="1"/>
        <v>1</v>
      </c>
      <c r="P14" s="76"/>
      <c r="Q14" s="77">
        <f t="shared" si="2"/>
        <v>1</v>
      </c>
      <c r="R14" s="101">
        <v>521.17881</v>
      </c>
      <c r="S14" s="62">
        <v>286091.24266000005</v>
      </c>
      <c r="T14" s="68">
        <v>115313.59692</v>
      </c>
      <c r="U14" s="69">
        <f t="shared" si="3"/>
        <v>0.0030517976034958767</v>
      </c>
      <c r="V14" s="64">
        <f t="shared" si="4"/>
        <v>1</v>
      </c>
      <c r="W14" s="76"/>
      <c r="X14" s="77">
        <f t="shared" si="14"/>
        <v>1</v>
      </c>
      <c r="Y14" s="62">
        <f t="shared" si="15"/>
        <v>2967.8256699999997</v>
      </c>
      <c r="Z14" s="72"/>
      <c r="AA14" s="72">
        <v>2967.8256699999997</v>
      </c>
      <c r="AB14" s="72"/>
      <c r="AC14" s="72">
        <f t="shared" si="5"/>
        <v>283123.41699</v>
      </c>
      <c r="AD14" s="72">
        <f t="shared" si="5"/>
        <v>178061.59269999998</v>
      </c>
      <c r="AE14" s="72">
        <f t="shared" si="5"/>
        <v>35768.4</v>
      </c>
      <c r="AF14" s="72">
        <f t="shared" si="16"/>
        <v>69293.42429000002</v>
      </c>
      <c r="AG14" s="73">
        <f>AF14*5%</f>
        <v>3464.6712145000015</v>
      </c>
      <c r="AH14" s="72">
        <f t="shared" si="7"/>
        <v>6432.496884500001</v>
      </c>
      <c r="AI14" s="104">
        <f t="shared" si="8"/>
        <v>0</v>
      </c>
      <c r="AJ14" s="75">
        <f t="shared" si="21"/>
        <v>1.5</v>
      </c>
      <c r="AK14" s="106"/>
      <c r="AL14" s="77">
        <f t="shared" si="9"/>
        <v>1.5</v>
      </c>
      <c r="AM14" s="78">
        <v>9458</v>
      </c>
      <c r="AN14" s="76">
        <v>9458</v>
      </c>
      <c r="AO14" s="103">
        <f t="shared" si="10"/>
        <v>1</v>
      </c>
      <c r="AP14" s="80">
        <f t="shared" si="22"/>
        <v>1</v>
      </c>
      <c r="AQ14" s="106"/>
      <c r="AR14" s="107">
        <f t="shared" si="17"/>
        <v>1</v>
      </c>
      <c r="AS14" s="78">
        <v>22499</v>
      </c>
      <c r="AT14" s="76">
        <v>22910</v>
      </c>
      <c r="AU14" s="104">
        <f t="shared" si="18"/>
        <v>0.9820602357049324</v>
      </c>
      <c r="AV14" s="80">
        <f t="shared" si="23"/>
        <v>1</v>
      </c>
      <c r="AW14" s="106"/>
      <c r="AX14" s="107">
        <f t="shared" si="11"/>
        <v>1</v>
      </c>
      <c r="AY14" s="102">
        <f t="shared" si="12"/>
        <v>6.5</v>
      </c>
    </row>
    <row r="15" spans="1:51" s="9" customFormat="1" ht="12.75">
      <c r="A15" s="83" t="s">
        <v>67</v>
      </c>
      <c r="B15" s="84">
        <v>0</v>
      </c>
      <c r="C15" s="84">
        <v>1296.31164</v>
      </c>
      <c r="D15" s="84">
        <v>0</v>
      </c>
      <c r="E15" s="85">
        <f t="shared" si="13"/>
        <v>0</v>
      </c>
      <c r="F15" s="86"/>
      <c r="G15" s="87">
        <f>IF(E15&lt;=1.05,1,0)</f>
        <v>1</v>
      </c>
      <c r="H15" s="88">
        <f t="shared" si="0"/>
        <v>1</v>
      </c>
      <c r="I15" s="84">
        <v>0</v>
      </c>
      <c r="J15" s="84">
        <v>310783.94204</v>
      </c>
      <c r="K15" s="89">
        <v>232103.3573</v>
      </c>
      <c r="L15" s="84">
        <v>51775.729</v>
      </c>
      <c r="M15" s="84">
        <v>0</v>
      </c>
      <c r="N15" s="85">
        <f t="shared" si="20"/>
        <v>0</v>
      </c>
      <c r="O15" s="86"/>
      <c r="P15" s="87">
        <f>IF(N15&lt;=0.5,1,0)</f>
        <v>1</v>
      </c>
      <c r="Q15" s="88">
        <f t="shared" si="2"/>
        <v>1</v>
      </c>
      <c r="R15" s="90">
        <v>0</v>
      </c>
      <c r="S15" s="84">
        <v>312080.25368</v>
      </c>
      <c r="T15" s="89">
        <v>134900.0313</v>
      </c>
      <c r="U15" s="85">
        <f t="shared" si="3"/>
        <v>0</v>
      </c>
      <c r="V15" s="86"/>
      <c r="W15" s="87">
        <f>IF(U15&lt;=0.15,1,0)</f>
        <v>1</v>
      </c>
      <c r="X15" s="88">
        <f t="shared" si="14"/>
        <v>1</v>
      </c>
      <c r="Y15" s="84">
        <f t="shared" si="15"/>
        <v>1296.31164</v>
      </c>
      <c r="Z15" s="91"/>
      <c r="AA15" s="91">
        <v>1296.31164</v>
      </c>
      <c r="AB15" s="91"/>
      <c r="AC15" s="91">
        <f t="shared" si="5"/>
        <v>310783.94204</v>
      </c>
      <c r="AD15" s="91">
        <f t="shared" si="5"/>
        <v>232103.3573</v>
      </c>
      <c r="AE15" s="91">
        <f t="shared" si="5"/>
        <v>51775.729</v>
      </c>
      <c r="AF15" s="91">
        <f t="shared" si="16"/>
        <v>26904.85573999999</v>
      </c>
      <c r="AG15" s="91">
        <f>AF15*5%</f>
        <v>1345.2427869999997</v>
      </c>
      <c r="AH15" s="91">
        <f t="shared" si="7"/>
        <v>2641.5544269999996</v>
      </c>
      <c r="AI15" s="92">
        <f t="shared" si="8"/>
        <v>0</v>
      </c>
      <c r="AJ15" s="93"/>
      <c r="AK15" s="94">
        <f>IF(AI15&lt;=0.05,1.5,0)</f>
        <v>1.5</v>
      </c>
      <c r="AL15" s="88">
        <f t="shared" si="9"/>
        <v>1.5</v>
      </c>
      <c r="AM15" s="95">
        <v>12266</v>
      </c>
      <c r="AN15" s="87">
        <v>12266</v>
      </c>
      <c r="AO15" s="96">
        <f t="shared" si="10"/>
        <v>1</v>
      </c>
      <c r="AP15" s="93"/>
      <c r="AQ15" s="94">
        <f>IF(AO15&lt;=1,1,0)</f>
        <v>1</v>
      </c>
      <c r="AR15" s="97">
        <f t="shared" si="17"/>
        <v>1</v>
      </c>
      <c r="AS15" s="95">
        <v>30263</v>
      </c>
      <c r="AT15" s="87">
        <v>30284</v>
      </c>
      <c r="AU15" s="92">
        <f t="shared" si="18"/>
        <v>0.9993065645225201</v>
      </c>
      <c r="AV15" s="93"/>
      <c r="AW15" s="94">
        <f>IF(AU15&lt;=1,1,0)</f>
        <v>1</v>
      </c>
      <c r="AX15" s="97">
        <f t="shared" si="11"/>
        <v>1</v>
      </c>
      <c r="AY15" s="98">
        <f t="shared" si="12"/>
        <v>6.5</v>
      </c>
    </row>
    <row r="16" spans="1:51" s="9" customFormat="1" ht="12.75">
      <c r="A16" s="105" t="s">
        <v>68</v>
      </c>
      <c r="B16" s="62">
        <v>62714.5</v>
      </c>
      <c r="C16" s="62">
        <v>8968.065849999999</v>
      </c>
      <c r="D16" s="62">
        <v>62714.5</v>
      </c>
      <c r="E16" s="69">
        <f t="shared" si="13"/>
        <v>0.8748919525458086</v>
      </c>
      <c r="F16" s="64">
        <f t="shared" si="19"/>
        <v>1</v>
      </c>
      <c r="G16" s="76"/>
      <c r="H16" s="77">
        <f t="shared" si="0"/>
        <v>1</v>
      </c>
      <c r="I16" s="62">
        <v>56668.18</v>
      </c>
      <c r="J16" s="62">
        <v>1130096.0628199999</v>
      </c>
      <c r="K16" s="68">
        <v>821443.46282</v>
      </c>
      <c r="L16" s="62">
        <v>158022.624</v>
      </c>
      <c r="M16" s="62">
        <v>0</v>
      </c>
      <c r="N16" s="69">
        <f t="shared" si="20"/>
        <v>0.3762078538736543</v>
      </c>
      <c r="O16" s="64">
        <f t="shared" si="1"/>
        <v>1</v>
      </c>
      <c r="P16" s="76"/>
      <c r="Q16" s="77">
        <f t="shared" si="2"/>
        <v>1</v>
      </c>
      <c r="R16" s="101">
        <v>5245.23243</v>
      </c>
      <c r="S16" s="62">
        <v>1139064.12867</v>
      </c>
      <c r="T16" s="68">
        <v>518064.89632</v>
      </c>
      <c r="U16" s="69">
        <f t="shared" si="3"/>
        <v>0.008446439474894143</v>
      </c>
      <c r="V16" s="64">
        <f t="shared" si="4"/>
        <v>1</v>
      </c>
      <c r="W16" s="76"/>
      <c r="X16" s="77">
        <f t="shared" si="14"/>
        <v>1</v>
      </c>
      <c r="Y16" s="62">
        <f t="shared" si="15"/>
        <v>8968.065849999999</v>
      </c>
      <c r="Z16" s="72"/>
      <c r="AA16" s="72">
        <v>8968.065849999999</v>
      </c>
      <c r="AB16" s="72"/>
      <c r="AC16" s="72">
        <f t="shared" si="5"/>
        <v>1130096.0628199999</v>
      </c>
      <c r="AD16" s="72">
        <f t="shared" si="5"/>
        <v>821443.46282</v>
      </c>
      <c r="AE16" s="72">
        <f t="shared" si="5"/>
        <v>158022.624</v>
      </c>
      <c r="AF16" s="72">
        <f t="shared" si="16"/>
        <v>150629.97599999985</v>
      </c>
      <c r="AG16" s="73">
        <f t="shared" si="6"/>
        <v>15062.997599999986</v>
      </c>
      <c r="AH16" s="72">
        <f>IF(AA16&gt;0,AA16,0)+AG16+IF(AB16&gt;0,AB16,0)</f>
        <v>24031.063449999987</v>
      </c>
      <c r="AI16" s="104">
        <f t="shared" si="8"/>
        <v>0</v>
      </c>
      <c r="AJ16" s="75">
        <f t="shared" si="21"/>
        <v>1.5</v>
      </c>
      <c r="AK16" s="76"/>
      <c r="AL16" s="77">
        <f t="shared" si="9"/>
        <v>1.5</v>
      </c>
      <c r="AM16" s="78">
        <v>23422</v>
      </c>
      <c r="AN16" s="76">
        <v>27112</v>
      </c>
      <c r="AO16" s="103">
        <f t="shared" si="10"/>
        <v>0.8638979049867217</v>
      </c>
      <c r="AP16" s="80">
        <f t="shared" si="22"/>
        <v>1</v>
      </c>
      <c r="AQ16" s="76"/>
      <c r="AR16" s="107">
        <f t="shared" si="17"/>
        <v>1</v>
      </c>
      <c r="AS16" s="78">
        <v>66597</v>
      </c>
      <c r="AT16" s="76">
        <v>66609</v>
      </c>
      <c r="AU16" s="103">
        <f t="shared" si="18"/>
        <v>0.9998198441652029</v>
      </c>
      <c r="AV16" s="80">
        <f t="shared" si="23"/>
        <v>1</v>
      </c>
      <c r="AW16" s="76"/>
      <c r="AX16" s="107">
        <f t="shared" si="11"/>
        <v>1</v>
      </c>
      <c r="AY16" s="102">
        <f t="shared" si="12"/>
        <v>6.5</v>
      </c>
    </row>
    <row r="17" spans="1:51" s="9" customFormat="1" ht="12.75">
      <c r="A17" s="105" t="s">
        <v>69</v>
      </c>
      <c r="B17" s="62">
        <v>0</v>
      </c>
      <c r="C17" s="62">
        <v>0</v>
      </c>
      <c r="D17" s="62">
        <v>0</v>
      </c>
      <c r="E17" s="69">
        <f t="shared" si="13"/>
        <v>0</v>
      </c>
      <c r="F17" s="64">
        <f t="shared" si="19"/>
        <v>1</v>
      </c>
      <c r="G17" s="76"/>
      <c r="H17" s="77">
        <f t="shared" si="0"/>
        <v>1</v>
      </c>
      <c r="I17" s="62">
        <v>0</v>
      </c>
      <c r="J17" s="62">
        <v>312064.40937999997</v>
      </c>
      <c r="K17" s="68">
        <v>206057.70938</v>
      </c>
      <c r="L17" s="62">
        <v>37863.525</v>
      </c>
      <c r="M17" s="62">
        <v>0</v>
      </c>
      <c r="N17" s="69">
        <f t="shared" si="20"/>
        <v>0</v>
      </c>
      <c r="O17" s="64">
        <f>IF(N17&lt;=1,1,0)</f>
        <v>1</v>
      </c>
      <c r="P17" s="76"/>
      <c r="Q17" s="77">
        <f>O17+P17</f>
        <v>1</v>
      </c>
      <c r="R17" s="101">
        <v>0</v>
      </c>
      <c r="S17" s="62">
        <v>312064.40937999997</v>
      </c>
      <c r="T17" s="68">
        <v>154852.56418000002</v>
      </c>
      <c r="U17" s="69">
        <f t="shared" si="3"/>
        <v>0</v>
      </c>
      <c r="V17" s="64">
        <f>IF(U17&lt;=0.15,1,0)</f>
        <v>1</v>
      </c>
      <c r="W17" s="76"/>
      <c r="X17" s="77">
        <f t="shared" si="14"/>
        <v>1</v>
      </c>
      <c r="Y17" s="62">
        <f t="shared" si="15"/>
        <v>0</v>
      </c>
      <c r="Z17" s="72"/>
      <c r="AA17" s="72">
        <v>0</v>
      </c>
      <c r="AB17" s="72"/>
      <c r="AC17" s="72">
        <f t="shared" si="5"/>
        <v>312064.40937999997</v>
      </c>
      <c r="AD17" s="72">
        <f t="shared" si="5"/>
        <v>206057.70938</v>
      </c>
      <c r="AE17" s="72">
        <f t="shared" si="5"/>
        <v>37863.525</v>
      </c>
      <c r="AF17" s="72">
        <f t="shared" si="16"/>
        <v>68143.17499999999</v>
      </c>
      <c r="AG17" s="73">
        <f t="shared" si="6"/>
        <v>6814.317499999999</v>
      </c>
      <c r="AH17" s="72">
        <f aca="true" t="shared" si="24" ref="AH17:AH42">IF(AA17&gt;0,AA17,0)+AG17+IF(AB17&gt;0,AB17,0)</f>
        <v>6814.317499999999</v>
      </c>
      <c r="AI17" s="104">
        <f t="shared" si="8"/>
        <v>0</v>
      </c>
      <c r="AJ17" s="75">
        <f t="shared" si="21"/>
        <v>1.5</v>
      </c>
      <c r="AK17" s="76"/>
      <c r="AL17" s="77">
        <f t="shared" si="9"/>
        <v>1.5</v>
      </c>
      <c r="AM17" s="78">
        <v>10630</v>
      </c>
      <c r="AN17" s="76">
        <v>11489</v>
      </c>
      <c r="AO17" s="103">
        <f t="shared" si="10"/>
        <v>0.9252328314039516</v>
      </c>
      <c r="AP17" s="80">
        <f t="shared" si="22"/>
        <v>1</v>
      </c>
      <c r="AQ17" s="76"/>
      <c r="AR17" s="107">
        <f>AP17+AQ17</f>
        <v>1</v>
      </c>
      <c r="AS17" s="78">
        <v>26433</v>
      </c>
      <c r="AT17" s="76">
        <v>27189</v>
      </c>
      <c r="AU17" s="104">
        <f t="shared" si="18"/>
        <v>0.9721946375372393</v>
      </c>
      <c r="AV17" s="80">
        <f t="shared" si="23"/>
        <v>1</v>
      </c>
      <c r="AW17" s="76"/>
      <c r="AX17" s="107">
        <f t="shared" si="11"/>
        <v>1</v>
      </c>
      <c r="AY17" s="102">
        <f t="shared" si="12"/>
        <v>6.5</v>
      </c>
    </row>
    <row r="18" spans="1:51" s="9" customFormat="1" ht="12.75">
      <c r="A18" s="83" t="s">
        <v>70</v>
      </c>
      <c r="B18" s="84">
        <v>0</v>
      </c>
      <c r="C18" s="84">
        <v>7733.870110000001</v>
      </c>
      <c r="D18" s="84">
        <v>0</v>
      </c>
      <c r="E18" s="85">
        <f t="shared" si="13"/>
        <v>0</v>
      </c>
      <c r="F18" s="86"/>
      <c r="G18" s="87">
        <f aca="true" t="shared" si="25" ref="G18:G23">IF(E18&lt;=1.05,1,0)</f>
        <v>1</v>
      </c>
      <c r="H18" s="88">
        <f t="shared" si="0"/>
        <v>1</v>
      </c>
      <c r="I18" s="84">
        <v>0</v>
      </c>
      <c r="J18" s="84">
        <v>202764.49593</v>
      </c>
      <c r="K18" s="89">
        <v>168643.19093</v>
      </c>
      <c r="L18" s="84">
        <v>17884.961</v>
      </c>
      <c r="M18" s="84">
        <v>0</v>
      </c>
      <c r="N18" s="85">
        <f t="shared" si="20"/>
        <v>0</v>
      </c>
      <c r="O18" s="86"/>
      <c r="P18" s="87">
        <f aca="true" t="shared" si="26" ref="P18:P23">IF(N18&lt;=0.5,1,0)</f>
        <v>1</v>
      </c>
      <c r="Q18" s="88">
        <f t="shared" si="2"/>
        <v>1</v>
      </c>
      <c r="R18" s="90">
        <v>0</v>
      </c>
      <c r="S18" s="84">
        <v>210498.36604</v>
      </c>
      <c r="T18" s="89">
        <v>94765.68283</v>
      </c>
      <c r="U18" s="85">
        <f t="shared" si="3"/>
        <v>0</v>
      </c>
      <c r="V18" s="86"/>
      <c r="W18" s="87">
        <f aca="true" t="shared" si="27" ref="W18:W23">IF(U18&lt;=0.15,1,0)</f>
        <v>1</v>
      </c>
      <c r="X18" s="88">
        <f t="shared" si="14"/>
        <v>1</v>
      </c>
      <c r="Y18" s="84">
        <f t="shared" si="15"/>
        <v>7733.870110000001</v>
      </c>
      <c r="Z18" s="91"/>
      <c r="AA18" s="91">
        <v>7733.870110000001</v>
      </c>
      <c r="AB18" s="91"/>
      <c r="AC18" s="91">
        <f t="shared" si="5"/>
        <v>202764.49593</v>
      </c>
      <c r="AD18" s="91">
        <f t="shared" si="5"/>
        <v>168643.19093</v>
      </c>
      <c r="AE18" s="91">
        <f t="shared" si="5"/>
        <v>17884.961</v>
      </c>
      <c r="AF18" s="91">
        <f t="shared" si="16"/>
        <v>16236.343999999994</v>
      </c>
      <c r="AG18" s="91">
        <f>AF18*5%</f>
        <v>811.8171999999997</v>
      </c>
      <c r="AH18" s="91">
        <f t="shared" si="24"/>
        <v>8545.687310000001</v>
      </c>
      <c r="AI18" s="92">
        <f t="shared" si="8"/>
        <v>0</v>
      </c>
      <c r="AJ18" s="86"/>
      <c r="AK18" s="94">
        <f>IF(AI18&lt;=0.05,1.5,0)</f>
        <v>1.5</v>
      </c>
      <c r="AL18" s="88">
        <f t="shared" si="9"/>
        <v>1.5</v>
      </c>
      <c r="AM18" s="95">
        <v>7454</v>
      </c>
      <c r="AN18" s="87">
        <v>10906</v>
      </c>
      <c r="AO18" s="96">
        <f t="shared" si="10"/>
        <v>0.6834769851457914</v>
      </c>
      <c r="AP18" s="86"/>
      <c r="AQ18" s="94">
        <f aca="true" t="shared" si="28" ref="AQ18:AQ34">IF(AO18&lt;=1,1,0)</f>
        <v>1</v>
      </c>
      <c r="AR18" s="97">
        <f t="shared" si="17"/>
        <v>1</v>
      </c>
      <c r="AS18" s="95">
        <v>21182</v>
      </c>
      <c r="AT18" s="87">
        <v>27242</v>
      </c>
      <c r="AU18" s="92">
        <f t="shared" si="18"/>
        <v>0.7775493722927832</v>
      </c>
      <c r="AV18" s="86"/>
      <c r="AW18" s="94">
        <f aca="true" t="shared" si="29" ref="AW18:AW34">IF(AU18&lt;=1,1,0)</f>
        <v>1</v>
      </c>
      <c r="AX18" s="97">
        <f t="shared" si="11"/>
        <v>1</v>
      </c>
      <c r="AY18" s="98">
        <f t="shared" si="12"/>
        <v>6.5</v>
      </c>
    </row>
    <row r="19" spans="1:51" s="9" customFormat="1" ht="12.75">
      <c r="A19" s="83" t="s">
        <v>71</v>
      </c>
      <c r="B19" s="84">
        <v>0</v>
      </c>
      <c r="C19" s="84">
        <v>2835.61229</v>
      </c>
      <c r="D19" s="84">
        <v>0</v>
      </c>
      <c r="E19" s="85">
        <f t="shared" si="13"/>
        <v>0</v>
      </c>
      <c r="F19" s="86"/>
      <c r="G19" s="87">
        <f t="shared" si="25"/>
        <v>1</v>
      </c>
      <c r="H19" s="88">
        <f t="shared" si="0"/>
        <v>1</v>
      </c>
      <c r="I19" s="84">
        <v>0</v>
      </c>
      <c r="J19" s="84">
        <v>254855.7647</v>
      </c>
      <c r="K19" s="89">
        <v>178548.7647</v>
      </c>
      <c r="L19" s="84">
        <v>43560.857</v>
      </c>
      <c r="M19" s="84">
        <v>0</v>
      </c>
      <c r="N19" s="85">
        <f t="shared" si="20"/>
        <v>0</v>
      </c>
      <c r="O19" s="86"/>
      <c r="P19" s="87">
        <f t="shared" si="26"/>
        <v>1</v>
      </c>
      <c r="Q19" s="88">
        <f t="shared" si="2"/>
        <v>1</v>
      </c>
      <c r="R19" s="90">
        <v>0</v>
      </c>
      <c r="S19" s="84">
        <v>257691.37699000002</v>
      </c>
      <c r="T19" s="89">
        <v>125047.8082</v>
      </c>
      <c r="U19" s="85">
        <f t="shared" si="3"/>
        <v>0</v>
      </c>
      <c r="V19" s="86"/>
      <c r="W19" s="87">
        <f t="shared" si="27"/>
        <v>1</v>
      </c>
      <c r="X19" s="88">
        <f t="shared" si="14"/>
        <v>1</v>
      </c>
      <c r="Y19" s="84">
        <f t="shared" si="15"/>
        <v>2835.61229</v>
      </c>
      <c r="Z19" s="91"/>
      <c r="AA19" s="91">
        <v>2835.61229</v>
      </c>
      <c r="AB19" s="91"/>
      <c r="AC19" s="91">
        <f t="shared" si="5"/>
        <v>254855.7647</v>
      </c>
      <c r="AD19" s="91">
        <f t="shared" si="5"/>
        <v>178548.7647</v>
      </c>
      <c r="AE19" s="91">
        <f t="shared" si="5"/>
        <v>43560.857</v>
      </c>
      <c r="AF19" s="91">
        <f t="shared" si="16"/>
        <v>32746.142999999996</v>
      </c>
      <c r="AG19" s="91">
        <f>AF19*10%</f>
        <v>3274.6142999999997</v>
      </c>
      <c r="AH19" s="91">
        <f t="shared" si="24"/>
        <v>6110.22659</v>
      </c>
      <c r="AI19" s="92">
        <f t="shared" si="8"/>
        <v>0</v>
      </c>
      <c r="AJ19" s="93"/>
      <c r="AK19" s="94">
        <f aca="true" t="shared" si="30" ref="AK19:AK34">IF(AI19&lt;=0.05,1.5,0)</f>
        <v>1.5</v>
      </c>
      <c r="AL19" s="88">
        <f t="shared" si="9"/>
        <v>1.5</v>
      </c>
      <c r="AM19" s="95">
        <v>11444</v>
      </c>
      <c r="AN19" s="87">
        <v>12266</v>
      </c>
      <c r="AO19" s="96">
        <f t="shared" si="10"/>
        <v>0.9329854883417577</v>
      </c>
      <c r="AP19" s="93"/>
      <c r="AQ19" s="94">
        <f t="shared" si="28"/>
        <v>1</v>
      </c>
      <c r="AR19" s="97">
        <f t="shared" si="17"/>
        <v>1</v>
      </c>
      <c r="AS19" s="95">
        <v>29287</v>
      </c>
      <c r="AT19" s="87">
        <v>30284</v>
      </c>
      <c r="AU19" s="92">
        <f t="shared" si="18"/>
        <v>0.9670783251882182</v>
      </c>
      <c r="AV19" s="93"/>
      <c r="AW19" s="94">
        <f t="shared" si="29"/>
        <v>1</v>
      </c>
      <c r="AX19" s="97">
        <f t="shared" si="11"/>
        <v>1</v>
      </c>
      <c r="AY19" s="98">
        <f t="shared" si="12"/>
        <v>6.5</v>
      </c>
    </row>
    <row r="20" spans="1:51" s="9" customFormat="1" ht="12.75">
      <c r="A20" s="83" t="s">
        <v>72</v>
      </c>
      <c r="B20" s="84">
        <v>0</v>
      </c>
      <c r="C20" s="84">
        <v>6030.40075</v>
      </c>
      <c r="D20" s="84">
        <v>0</v>
      </c>
      <c r="E20" s="85">
        <f t="shared" si="13"/>
        <v>0</v>
      </c>
      <c r="F20" s="86"/>
      <c r="G20" s="87">
        <f t="shared" si="25"/>
        <v>1</v>
      </c>
      <c r="H20" s="88">
        <f t="shared" si="0"/>
        <v>1</v>
      </c>
      <c r="I20" s="84">
        <v>0</v>
      </c>
      <c r="J20" s="84">
        <v>147902.18262</v>
      </c>
      <c r="K20" s="89">
        <v>98652.06662</v>
      </c>
      <c r="L20" s="84">
        <v>30620.263</v>
      </c>
      <c r="M20" s="84">
        <v>0</v>
      </c>
      <c r="N20" s="85">
        <f t="shared" si="20"/>
        <v>0</v>
      </c>
      <c r="O20" s="86"/>
      <c r="P20" s="87">
        <f t="shared" si="26"/>
        <v>1</v>
      </c>
      <c r="Q20" s="88">
        <f t="shared" si="2"/>
        <v>1</v>
      </c>
      <c r="R20" s="90">
        <v>0</v>
      </c>
      <c r="S20" s="84">
        <v>153932.58337</v>
      </c>
      <c r="T20" s="89">
        <v>64404.406820000004</v>
      </c>
      <c r="U20" s="85">
        <f t="shared" si="3"/>
        <v>0</v>
      </c>
      <c r="V20" s="86"/>
      <c r="W20" s="87">
        <f t="shared" si="27"/>
        <v>1</v>
      </c>
      <c r="X20" s="88">
        <f t="shared" si="14"/>
        <v>1</v>
      </c>
      <c r="Y20" s="84">
        <f t="shared" si="15"/>
        <v>6030.40075</v>
      </c>
      <c r="Z20" s="91"/>
      <c r="AA20" s="91">
        <v>6030.40075</v>
      </c>
      <c r="AB20" s="91"/>
      <c r="AC20" s="91">
        <f t="shared" si="5"/>
        <v>147902.18262</v>
      </c>
      <c r="AD20" s="91">
        <f t="shared" si="5"/>
        <v>98652.06662</v>
      </c>
      <c r="AE20" s="91">
        <f t="shared" si="5"/>
        <v>30620.263</v>
      </c>
      <c r="AF20" s="91">
        <f t="shared" si="16"/>
        <v>18629.85300000001</v>
      </c>
      <c r="AG20" s="91">
        <f>AF20*5%</f>
        <v>931.4926500000006</v>
      </c>
      <c r="AH20" s="91">
        <f t="shared" si="24"/>
        <v>6961.893400000001</v>
      </c>
      <c r="AI20" s="92">
        <f t="shared" si="8"/>
        <v>0</v>
      </c>
      <c r="AJ20" s="86"/>
      <c r="AK20" s="94">
        <f t="shared" si="30"/>
        <v>1.5</v>
      </c>
      <c r="AL20" s="88">
        <f t="shared" si="9"/>
        <v>1.5</v>
      </c>
      <c r="AM20" s="95">
        <v>7273</v>
      </c>
      <c r="AN20" s="87">
        <v>9971</v>
      </c>
      <c r="AO20" s="96">
        <f t="shared" si="10"/>
        <v>0.7294153043827099</v>
      </c>
      <c r="AP20" s="86"/>
      <c r="AQ20" s="94">
        <f t="shared" si="28"/>
        <v>1</v>
      </c>
      <c r="AR20" s="97">
        <f t="shared" si="17"/>
        <v>1</v>
      </c>
      <c r="AS20" s="95">
        <v>20517</v>
      </c>
      <c r="AT20" s="87">
        <v>25171</v>
      </c>
      <c r="AU20" s="92">
        <f t="shared" si="18"/>
        <v>0.815104683961702</v>
      </c>
      <c r="AV20" s="86"/>
      <c r="AW20" s="94">
        <f t="shared" si="29"/>
        <v>1</v>
      </c>
      <c r="AX20" s="97">
        <f t="shared" si="11"/>
        <v>1</v>
      </c>
      <c r="AY20" s="98">
        <f t="shared" si="12"/>
        <v>6.5</v>
      </c>
    </row>
    <row r="21" spans="1:51" s="9" customFormat="1" ht="12.75">
      <c r="A21" s="83" t="s">
        <v>73</v>
      </c>
      <c r="B21" s="84">
        <v>0</v>
      </c>
      <c r="C21" s="84">
        <v>5464.89144</v>
      </c>
      <c r="D21" s="84">
        <v>0</v>
      </c>
      <c r="E21" s="85">
        <f t="shared" si="13"/>
        <v>0</v>
      </c>
      <c r="F21" s="86"/>
      <c r="G21" s="87">
        <f t="shared" si="25"/>
        <v>1</v>
      </c>
      <c r="H21" s="88">
        <f t="shared" si="0"/>
        <v>1</v>
      </c>
      <c r="I21" s="84">
        <v>0</v>
      </c>
      <c r="J21" s="84">
        <v>474809.03638999996</v>
      </c>
      <c r="K21" s="89">
        <v>337147.63639</v>
      </c>
      <c r="L21" s="84">
        <v>81947.214</v>
      </c>
      <c r="M21" s="84">
        <v>0</v>
      </c>
      <c r="N21" s="85">
        <f t="shared" si="20"/>
        <v>0</v>
      </c>
      <c r="O21" s="86"/>
      <c r="P21" s="87">
        <f t="shared" si="26"/>
        <v>1</v>
      </c>
      <c r="Q21" s="88">
        <f t="shared" si="2"/>
        <v>1</v>
      </c>
      <c r="R21" s="90">
        <v>0</v>
      </c>
      <c r="S21" s="84">
        <v>480273.92783</v>
      </c>
      <c r="T21" s="89">
        <v>223393.68748</v>
      </c>
      <c r="U21" s="85">
        <f t="shared" si="3"/>
        <v>0</v>
      </c>
      <c r="V21" s="86"/>
      <c r="W21" s="87">
        <f t="shared" si="27"/>
        <v>1</v>
      </c>
      <c r="X21" s="88">
        <f t="shared" si="14"/>
        <v>1</v>
      </c>
      <c r="Y21" s="84">
        <f t="shared" si="15"/>
        <v>5464.89144</v>
      </c>
      <c r="Z21" s="91"/>
      <c r="AA21" s="91">
        <v>5464.89144</v>
      </c>
      <c r="AB21" s="91"/>
      <c r="AC21" s="91">
        <f t="shared" si="5"/>
        <v>474809.03638999996</v>
      </c>
      <c r="AD21" s="91">
        <f t="shared" si="5"/>
        <v>337147.63639</v>
      </c>
      <c r="AE21" s="91">
        <f t="shared" si="5"/>
        <v>81947.214</v>
      </c>
      <c r="AF21" s="91">
        <f t="shared" si="16"/>
        <v>55714.18599999996</v>
      </c>
      <c r="AG21" s="91">
        <f>AF21*10%</f>
        <v>5571.418599999996</v>
      </c>
      <c r="AH21" s="91">
        <f t="shared" si="24"/>
        <v>11036.310039999997</v>
      </c>
      <c r="AI21" s="92">
        <f t="shared" si="8"/>
        <v>0</v>
      </c>
      <c r="AJ21" s="93"/>
      <c r="AK21" s="94">
        <f t="shared" si="30"/>
        <v>1.5</v>
      </c>
      <c r="AL21" s="88">
        <f t="shared" si="9"/>
        <v>1.5</v>
      </c>
      <c r="AM21" s="95">
        <v>16757</v>
      </c>
      <c r="AN21" s="87">
        <v>17572</v>
      </c>
      <c r="AO21" s="96">
        <f t="shared" si="10"/>
        <v>0.953619394491236</v>
      </c>
      <c r="AP21" s="93"/>
      <c r="AQ21" s="94">
        <f t="shared" si="28"/>
        <v>1</v>
      </c>
      <c r="AR21" s="97">
        <f t="shared" si="17"/>
        <v>1</v>
      </c>
      <c r="AS21" s="95">
        <v>38417</v>
      </c>
      <c r="AT21" s="87">
        <v>40219</v>
      </c>
      <c r="AU21" s="92">
        <f t="shared" si="18"/>
        <v>0.9551953057012854</v>
      </c>
      <c r="AV21" s="93"/>
      <c r="AW21" s="94">
        <f t="shared" si="29"/>
        <v>1</v>
      </c>
      <c r="AX21" s="97">
        <f t="shared" si="11"/>
        <v>1</v>
      </c>
      <c r="AY21" s="98">
        <f t="shared" si="12"/>
        <v>6.5</v>
      </c>
    </row>
    <row r="22" spans="1:51" s="9" customFormat="1" ht="12.75">
      <c r="A22" s="83" t="s">
        <v>74</v>
      </c>
      <c r="B22" s="84">
        <v>0</v>
      </c>
      <c r="C22" s="84">
        <v>1920.2976999999998</v>
      </c>
      <c r="D22" s="84">
        <v>0</v>
      </c>
      <c r="E22" s="85">
        <f t="shared" si="13"/>
        <v>0</v>
      </c>
      <c r="F22" s="86"/>
      <c r="G22" s="87">
        <f t="shared" si="25"/>
        <v>1</v>
      </c>
      <c r="H22" s="88">
        <f t="shared" si="0"/>
        <v>1</v>
      </c>
      <c r="I22" s="84">
        <v>0</v>
      </c>
      <c r="J22" s="84">
        <v>194399.85869999998</v>
      </c>
      <c r="K22" s="89">
        <v>152898.85869999998</v>
      </c>
      <c r="L22" s="84">
        <v>29913.442</v>
      </c>
      <c r="M22" s="84">
        <v>0</v>
      </c>
      <c r="N22" s="85">
        <f t="shared" si="20"/>
        <v>0</v>
      </c>
      <c r="O22" s="86"/>
      <c r="P22" s="87">
        <f t="shared" si="26"/>
        <v>1</v>
      </c>
      <c r="Q22" s="88">
        <f t="shared" si="2"/>
        <v>1</v>
      </c>
      <c r="R22" s="90">
        <v>0</v>
      </c>
      <c r="S22" s="84">
        <v>196320.1564</v>
      </c>
      <c r="T22" s="89">
        <v>96425.682</v>
      </c>
      <c r="U22" s="85">
        <f t="shared" si="3"/>
        <v>0</v>
      </c>
      <c r="V22" s="86"/>
      <c r="W22" s="87">
        <f t="shared" si="27"/>
        <v>1</v>
      </c>
      <c r="X22" s="88">
        <f t="shared" si="14"/>
        <v>1</v>
      </c>
      <c r="Y22" s="84">
        <f t="shared" si="15"/>
        <v>1920.2976999999998</v>
      </c>
      <c r="Z22" s="91"/>
      <c r="AA22" s="91">
        <v>1920.2976999999998</v>
      </c>
      <c r="AB22" s="91"/>
      <c r="AC22" s="91">
        <f t="shared" si="5"/>
        <v>194399.85869999998</v>
      </c>
      <c r="AD22" s="91">
        <f t="shared" si="5"/>
        <v>152898.85869999998</v>
      </c>
      <c r="AE22" s="91">
        <f t="shared" si="5"/>
        <v>29913.442</v>
      </c>
      <c r="AF22" s="91">
        <f t="shared" si="16"/>
        <v>11587.558</v>
      </c>
      <c r="AG22" s="91">
        <f>AF22*5%</f>
        <v>579.3779000000001</v>
      </c>
      <c r="AH22" s="91">
        <f t="shared" si="24"/>
        <v>2499.6756</v>
      </c>
      <c r="AI22" s="92">
        <f t="shared" si="8"/>
        <v>0</v>
      </c>
      <c r="AJ22" s="86"/>
      <c r="AK22" s="94">
        <f t="shared" si="30"/>
        <v>1.5</v>
      </c>
      <c r="AL22" s="88">
        <f t="shared" si="9"/>
        <v>1.5</v>
      </c>
      <c r="AM22" s="95">
        <v>9403</v>
      </c>
      <c r="AN22" s="87">
        <v>10906</v>
      </c>
      <c r="AO22" s="96">
        <f t="shared" si="10"/>
        <v>0.8621859526865945</v>
      </c>
      <c r="AP22" s="86"/>
      <c r="AQ22" s="94">
        <f t="shared" si="28"/>
        <v>1</v>
      </c>
      <c r="AR22" s="97">
        <f t="shared" si="17"/>
        <v>1</v>
      </c>
      <c r="AS22" s="95">
        <v>25471</v>
      </c>
      <c r="AT22" s="87">
        <v>27242</v>
      </c>
      <c r="AU22" s="92">
        <f t="shared" si="18"/>
        <v>0.9349900888334189</v>
      </c>
      <c r="AV22" s="86"/>
      <c r="AW22" s="94">
        <f t="shared" si="29"/>
        <v>1</v>
      </c>
      <c r="AX22" s="97">
        <f t="shared" si="11"/>
        <v>1</v>
      </c>
      <c r="AY22" s="98">
        <f t="shared" si="12"/>
        <v>6.5</v>
      </c>
    </row>
    <row r="23" spans="1:51" s="9" customFormat="1" ht="12.75">
      <c r="A23" s="83" t="s">
        <v>75</v>
      </c>
      <c r="B23" s="84">
        <v>0</v>
      </c>
      <c r="C23" s="84">
        <v>4827.691559999999</v>
      </c>
      <c r="D23" s="84">
        <v>0</v>
      </c>
      <c r="E23" s="85">
        <f t="shared" si="13"/>
        <v>0</v>
      </c>
      <c r="F23" s="86"/>
      <c r="G23" s="87">
        <f t="shared" si="25"/>
        <v>1</v>
      </c>
      <c r="H23" s="88">
        <f t="shared" si="0"/>
        <v>1</v>
      </c>
      <c r="I23" s="84">
        <v>0</v>
      </c>
      <c r="J23" s="84">
        <v>464640.88137</v>
      </c>
      <c r="K23" s="89">
        <v>299916.26137</v>
      </c>
      <c r="L23" s="84">
        <v>94562.374</v>
      </c>
      <c r="M23" s="84">
        <v>0</v>
      </c>
      <c r="N23" s="85">
        <f t="shared" si="20"/>
        <v>0</v>
      </c>
      <c r="O23" s="86"/>
      <c r="P23" s="87">
        <f t="shared" si="26"/>
        <v>1</v>
      </c>
      <c r="Q23" s="88">
        <f t="shared" si="2"/>
        <v>1</v>
      </c>
      <c r="R23" s="90">
        <v>0</v>
      </c>
      <c r="S23" s="84">
        <v>469468.57293</v>
      </c>
      <c r="T23" s="89">
        <v>216240.90373</v>
      </c>
      <c r="U23" s="85">
        <f t="shared" si="3"/>
        <v>0</v>
      </c>
      <c r="V23" s="86"/>
      <c r="W23" s="87">
        <f t="shared" si="27"/>
        <v>1</v>
      </c>
      <c r="X23" s="88">
        <f t="shared" si="14"/>
        <v>1</v>
      </c>
      <c r="Y23" s="84">
        <f t="shared" si="15"/>
        <v>4827.691559999999</v>
      </c>
      <c r="Z23" s="91"/>
      <c r="AA23" s="91">
        <v>4827.691559999999</v>
      </c>
      <c r="AB23" s="91"/>
      <c r="AC23" s="91">
        <f t="shared" si="5"/>
        <v>464640.88137</v>
      </c>
      <c r="AD23" s="91">
        <f t="shared" si="5"/>
        <v>299916.26137</v>
      </c>
      <c r="AE23" s="91">
        <f t="shared" si="5"/>
        <v>94562.374</v>
      </c>
      <c r="AF23" s="91">
        <f t="shared" si="16"/>
        <v>70162.246</v>
      </c>
      <c r="AG23" s="91">
        <f>AF23*10%</f>
        <v>7016.2246000000005</v>
      </c>
      <c r="AH23" s="91">
        <f t="shared" si="24"/>
        <v>11843.91616</v>
      </c>
      <c r="AI23" s="92">
        <f t="shared" si="8"/>
        <v>0</v>
      </c>
      <c r="AJ23" s="93"/>
      <c r="AK23" s="94">
        <f t="shared" si="30"/>
        <v>1.5</v>
      </c>
      <c r="AL23" s="88">
        <f t="shared" si="9"/>
        <v>1.5</v>
      </c>
      <c r="AM23" s="95">
        <v>16080</v>
      </c>
      <c r="AN23" s="87">
        <v>17572</v>
      </c>
      <c r="AO23" s="96">
        <f t="shared" si="10"/>
        <v>0.9150921921238334</v>
      </c>
      <c r="AP23" s="93"/>
      <c r="AQ23" s="94">
        <f t="shared" si="28"/>
        <v>1</v>
      </c>
      <c r="AR23" s="97">
        <f t="shared" si="17"/>
        <v>1</v>
      </c>
      <c r="AS23" s="95">
        <v>40211</v>
      </c>
      <c r="AT23" s="87">
        <v>40219</v>
      </c>
      <c r="AU23" s="96">
        <f t="shared" si="18"/>
        <v>0.9998010890375196</v>
      </c>
      <c r="AV23" s="93"/>
      <c r="AW23" s="94">
        <f t="shared" si="29"/>
        <v>1</v>
      </c>
      <c r="AX23" s="97">
        <f t="shared" si="11"/>
        <v>1</v>
      </c>
      <c r="AY23" s="98">
        <f t="shared" si="12"/>
        <v>6.5</v>
      </c>
    </row>
    <row r="24" spans="1:51" s="9" customFormat="1" ht="12.75">
      <c r="A24" s="83" t="s">
        <v>76</v>
      </c>
      <c r="B24" s="84">
        <v>0</v>
      </c>
      <c r="C24" s="84">
        <v>14058.85806</v>
      </c>
      <c r="D24" s="84">
        <v>0</v>
      </c>
      <c r="E24" s="85">
        <f t="shared" si="13"/>
        <v>0</v>
      </c>
      <c r="F24" s="86"/>
      <c r="G24" s="87">
        <f>IF(E24&lt;=1.05,1,0)</f>
        <v>1</v>
      </c>
      <c r="H24" s="88">
        <f t="shared" si="0"/>
        <v>1</v>
      </c>
      <c r="I24" s="84">
        <v>0</v>
      </c>
      <c r="J24" s="84">
        <v>261546.45148</v>
      </c>
      <c r="K24" s="89">
        <v>206488.65148</v>
      </c>
      <c r="L24" s="84">
        <v>35012.167</v>
      </c>
      <c r="M24" s="84">
        <v>0</v>
      </c>
      <c r="N24" s="85">
        <f t="shared" si="20"/>
        <v>0</v>
      </c>
      <c r="O24" s="86"/>
      <c r="P24" s="87">
        <f>IF(N24&lt;=0.5,1,0)</f>
        <v>1</v>
      </c>
      <c r="Q24" s="88">
        <f t="shared" si="2"/>
        <v>1</v>
      </c>
      <c r="R24" s="90">
        <v>0</v>
      </c>
      <c r="S24" s="84">
        <v>275605.30954000005</v>
      </c>
      <c r="T24" s="89">
        <v>115274.3552</v>
      </c>
      <c r="U24" s="85">
        <f t="shared" si="3"/>
        <v>0</v>
      </c>
      <c r="V24" s="86"/>
      <c r="W24" s="87">
        <f>IF(U24&lt;=0.15,1,0)</f>
        <v>1</v>
      </c>
      <c r="X24" s="88">
        <f t="shared" si="14"/>
        <v>1</v>
      </c>
      <c r="Y24" s="84">
        <f t="shared" si="15"/>
        <v>14058.85806</v>
      </c>
      <c r="Z24" s="91"/>
      <c r="AA24" s="91">
        <v>14058.85806</v>
      </c>
      <c r="AB24" s="91"/>
      <c r="AC24" s="91">
        <f t="shared" si="5"/>
        <v>261546.45148</v>
      </c>
      <c r="AD24" s="91">
        <f t="shared" si="5"/>
        <v>206488.65148</v>
      </c>
      <c r="AE24" s="91">
        <f t="shared" si="5"/>
        <v>35012.167</v>
      </c>
      <c r="AF24" s="91">
        <f t="shared" si="16"/>
        <v>20045.632999999987</v>
      </c>
      <c r="AG24" s="91">
        <f aca="true" t="shared" si="31" ref="AG24:AG32">AF24*5%</f>
        <v>1002.2816499999994</v>
      </c>
      <c r="AH24" s="91">
        <f t="shared" si="24"/>
        <v>15061.13971</v>
      </c>
      <c r="AI24" s="92">
        <f t="shared" si="8"/>
        <v>0</v>
      </c>
      <c r="AJ24" s="93"/>
      <c r="AK24" s="94">
        <f t="shared" si="30"/>
        <v>1.5</v>
      </c>
      <c r="AL24" s="88">
        <f t="shared" si="9"/>
        <v>1.5</v>
      </c>
      <c r="AM24" s="95">
        <v>9361</v>
      </c>
      <c r="AN24" s="87">
        <v>12266</v>
      </c>
      <c r="AO24" s="96">
        <f t="shared" si="10"/>
        <v>0.7631664764389369</v>
      </c>
      <c r="AP24" s="93"/>
      <c r="AQ24" s="94">
        <f t="shared" si="28"/>
        <v>1</v>
      </c>
      <c r="AR24" s="97">
        <f>AP24+AQ24</f>
        <v>1</v>
      </c>
      <c r="AS24" s="95">
        <v>25241</v>
      </c>
      <c r="AT24" s="87">
        <v>30284</v>
      </c>
      <c r="AU24" s="92">
        <f t="shared" si="18"/>
        <v>0.8334764231937657</v>
      </c>
      <c r="AV24" s="93"/>
      <c r="AW24" s="94">
        <f t="shared" si="29"/>
        <v>1</v>
      </c>
      <c r="AX24" s="97">
        <f t="shared" si="11"/>
        <v>1</v>
      </c>
      <c r="AY24" s="98">
        <f t="shared" si="12"/>
        <v>6.5</v>
      </c>
    </row>
    <row r="25" spans="1:51" s="9" customFormat="1" ht="12.75">
      <c r="A25" s="83" t="s">
        <v>77</v>
      </c>
      <c r="B25" s="84">
        <v>1993.47</v>
      </c>
      <c r="C25" s="84">
        <v>10974.218060000001</v>
      </c>
      <c r="D25" s="84">
        <v>1074.5</v>
      </c>
      <c r="E25" s="85">
        <f t="shared" si="13"/>
        <v>0.1654507965140318</v>
      </c>
      <c r="F25" s="86"/>
      <c r="G25" s="87">
        <f aca="true" t="shared" si="32" ref="G25:G39">IF(E25&lt;=1.05,1,0)</f>
        <v>1</v>
      </c>
      <c r="H25" s="88">
        <f t="shared" si="0"/>
        <v>1</v>
      </c>
      <c r="I25" s="84">
        <v>3068</v>
      </c>
      <c r="J25" s="84">
        <v>481249.0698</v>
      </c>
      <c r="K25" s="89">
        <v>342576.66980000003</v>
      </c>
      <c r="L25" s="84">
        <v>98802.95</v>
      </c>
      <c r="M25" s="84">
        <v>0</v>
      </c>
      <c r="N25" s="85">
        <f t="shared" si="20"/>
        <v>0.07695114931357223</v>
      </c>
      <c r="O25" s="86"/>
      <c r="P25" s="87">
        <f>IF(N25&lt;=0.5,1,0)</f>
        <v>1</v>
      </c>
      <c r="Q25" s="88">
        <f>O25+P25</f>
        <v>1</v>
      </c>
      <c r="R25" s="90">
        <v>299.819</v>
      </c>
      <c r="S25" s="84">
        <v>492223.28786000004</v>
      </c>
      <c r="T25" s="89">
        <v>222610.8598</v>
      </c>
      <c r="U25" s="85">
        <f t="shared" si="3"/>
        <v>0.0011120370160876921</v>
      </c>
      <c r="V25" s="86"/>
      <c r="W25" s="87">
        <f aca="true" t="shared" si="33" ref="W25:W39">IF(U25&lt;=0.15,1,0)</f>
        <v>1</v>
      </c>
      <c r="X25" s="88">
        <f t="shared" si="14"/>
        <v>1</v>
      </c>
      <c r="Y25" s="84">
        <f t="shared" si="15"/>
        <v>10974.218060000001</v>
      </c>
      <c r="Z25" s="91"/>
      <c r="AA25" s="91">
        <v>10055.24806</v>
      </c>
      <c r="AB25" s="91"/>
      <c r="AC25" s="91">
        <f t="shared" si="5"/>
        <v>481249.0698</v>
      </c>
      <c r="AD25" s="91">
        <f t="shared" si="5"/>
        <v>342576.66980000003</v>
      </c>
      <c r="AE25" s="91">
        <f t="shared" si="5"/>
        <v>98802.95</v>
      </c>
      <c r="AF25" s="91">
        <f t="shared" si="16"/>
        <v>39869.44999999997</v>
      </c>
      <c r="AG25" s="91">
        <f>AF25*10%</f>
        <v>3986.944999999997</v>
      </c>
      <c r="AH25" s="91">
        <f t="shared" si="24"/>
        <v>14042.193059999998</v>
      </c>
      <c r="AI25" s="92">
        <f t="shared" si="8"/>
        <v>0.023049477732950966</v>
      </c>
      <c r="AJ25" s="93"/>
      <c r="AK25" s="94">
        <f t="shared" si="30"/>
        <v>1.5</v>
      </c>
      <c r="AL25" s="88">
        <f t="shared" si="9"/>
        <v>1.5</v>
      </c>
      <c r="AM25" s="95">
        <v>14452</v>
      </c>
      <c r="AN25" s="87">
        <v>14513</v>
      </c>
      <c r="AO25" s="96">
        <f t="shared" si="10"/>
        <v>0.9957968717701371</v>
      </c>
      <c r="AP25" s="93"/>
      <c r="AQ25" s="94">
        <f t="shared" si="28"/>
        <v>1</v>
      </c>
      <c r="AR25" s="97">
        <f t="shared" si="17"/>
        <v>1</v>
      </c>
      <c r="AS25" s="95">
        <v>28659</v>
      </c>
      <c r="AT25" s="87">
        <v>34457</v>
      </c>
      <c r="AU25" s="92">
        <f t="shared" si="18"/>
        <v>0.8317323040311112</v>
      </c>
      <c r="AV25" s="93"/>
      <c r="AW25" s="94">
        <f t="shared" si="29"/>
        <v>1</v>
      </c>
      <c r="AX25" s="97">
        <f t="shared" si="11"/>
        <v>1</v>
      </c>
      <c r="AY25" s="98">
        <f t="shared" si="12"/>
        <v>6.5</v>
      </c>
    </row>
    <row r="26" spans="1:51" s="9" customFormat="1" ht="12.75">
      <c r="A26" s="83" t="s">
        <v>78</v>
      </c>
      <c r="B26" s="84">
        <v>0</v>
      </c>
      <c r="C26" s="84">
        <v>6882.87334</v>
      </c>
      <c r="D26" s="84">
        <v>0</v>
      </c>
      <c r="E26" s="85">
        <f t="shared" si="13"/>
        <v>0</v>
      </c>
      <c r="F26" s="86"/>
      <c r="G26" s="87">
        <f t="shared" si="32"/>
        <v>1</v>
      </c>
      <c r="H26" s="88">
        <f t="shared" si="0"/>
        <v>1</v>
      </c>
      <c r="I26" s="84">
        <v>0</v>
      </c>
      <c r="J26" s="84">
        <v>318515.89847</v>
      </c>
      <c r="K26" s="89">
        <v>246245.59847</v>
      </c>
      <c r="L26" s="84">
        <v>37368.667</v>
      </c>
      <c r="M26" s="84">
        <v>0</v>
      </c>
      <c r="N26" s="85">
        <f t="shared" si="20"/>
        <v>0</v>
      </c>
      <c r="O26" s="86"/>
      <c r="P26" s="87">
        <f aca="true" t="shared" si="34" ref="P26:P39">IF(N26&lt;=0.5,1,0)</f>
        <v>1</v>
      </c>
      <c r="Q26" s="88">
        <f t="shared" si="2"/>
        <v>1</v>
      </c>
      <c r="R26" s="90">
        <v>0</v>
      </c>
      <c r="S26" s="84">
        <v>325398.77181</v>
      </c>
      <c r="T26" s="89">
        <v>153348.59162</v>
      </c>
      <c r="U26" s="85">
        <f t="shared" si="3"/>
        <v>0</v>
      </c>
      <c r="V26" s="86"/>
      <c r="W26" s="87">
        <f t="shared" si="33"/>
        <v>1</v>
      </c>
      <c r="X26" s="88">
        <f t="shared" si="14"/>
        <v>1</v>
      </c>
      <c r="Y26" s="84">
        <f t="shared" si="15"/>
        <v>6882.87334</v>
      </c>
      <c r="Z26" s="91"/>
      <c r="AA26" s="91">
        <v>6882.87334</v>
      </c>
      <c r="AB26" s="91"/>
      <c r="AC26" s="91">
        <f t="shared" si="5"/>
        <v>318515.89847</v>
      </c>
      <c r="AD26" s="91">
        <f t="shared" si="5"/>
        <v>246245.59847</v>
      </c>
      <c r="AE26" s="91">
        <f t="shared" si="5"/>
        <v>37368.667</v>
      </c>
      <c r="AF26" s="91">
        <f t="shared" si="16"/>
        <v>34901.633000000016</v>
      </c>
      <c r="AG26" s="91">
        <f t="shared" si="31"/>
        <v>1745.081650000001</v>
      </c>
      <c r="AH26" s="91">
        <f t="shared" si="24"/>
        <v>8627.954990000002</v>
      </c>
      <c r="AI26" s="92">
        <f t="shared" si="8"/>
        <v>0</v>
      </c>
      <c r="AJ26" s="86"/>
      <c r="AK26" s="94">
        <f t="shared" si="30"/>
        <v>1.5</v>
      </c>
      <c r="AL26" s="88">
        <f t="shared" si="9"/>
        <v>1.5</v>
      </c>
      <c r="AM26" s="95">
        <v>10867</v>
      </c>
      <c r="AN26" s="87">
        <v>11489</v>
      </c>
      <c r="AO26" s="96">
        <f t="shared" si="10"/>
        <v>0.945861258595178</v>
      </c>
      <c r="AP26" s="86"/>
      <c r="AQ26" s="94">
        <f t="shared" si="28"/>
        <v>1</v>
      </c>
      <c r="AR26" s="97">
        <f t="shared" si="17"/>
        <v>1</v>
      </c>
      <c r="AS26" s="95">
        <v>26207</v>
      </c>
      <c r="AT26" s="87">
        <v>27189</v>
      </c>
      <c r="AU26" s="92">
        <f t="shared" si="18"/>
        <v>0.9638824524623929</v>
      </c>
      <c r="AV26" s="86"/>
      <c r="AW26" s="94">
        <f t="shared" si="29"/>
        <v>1</v>
      </c>
      <c r="AX26" s="97">
        <f t="shared" si="11"/>
        <v>1</v>
      </c>
      <c r="AY26" s="98">
        <f t="shared" si="12"/>
        <v>6.5</v>
      </c>
    </row>
    <row r="27" spans="1:51" s="9" customFormat="1" ht="12.75">
      <c r="A27" s="83" t="s">
        <v>79</v>
      </c>
      <c r="B27" s="84">
        <v>1600</v>
      </c>
      <c r="C27" s="84">
        <v>5368.93376</v>
      </c>
      <c r="D27" s="84">
        <v>0</v>
      </c>
      <c r="E27" s="85">
        <f t="shared" si="13"/>
        <v>0.29801075437369523</v>
      </c>
      <c r="F27" s="86"/>
      <c r="G27" s="87">
        <f t="shared" si="32"/>
        <v>1</v>
      </c>
      <c r="H27" s="88">
        <f t="shared" si="0"/>
        <v>1</v>
      </c>
      <c r="I27" s="84">
        <v>1600</v>
      </c>
      <c r="J27" s="84">
        <v>421721.4168</v>
      </c>
      <c r="K27" s="89">
        <v>327508.8068</v>
      </c>
      <c r="L27" s="84">
        <v>53913.042</v>
      </c>
      <c r="M27" s="84">
        <v>0</v>
      </c>
      <c r="N27" s="85">
        <f t="shared" si="20"/>
        <v>0.039702658847360364</v>
      </c>
      <c r="O27" s="86"/>
      <c r="P27" s="87">
        <f t="shared" si="34"/>
        <v>1</v>
      </c>
      <c r="Q27" s="88">
        <f t="shared" si="2"/>
        <v>1</v>
      </c>
      <c r="R27" s="90">
        <v>0</v>
      </c>
      <c r="S27" s="84">
        <v>427090.35056</v>
      </c>
      <c r="T27" s="89">
        <v>131074.67752</v>
      </c>
      <c r="U27" s="85">
        <f t="shared" si="3"/>
        <v>0</v>
      </c>
      <c r="V27" s="86"/>
      <c r="W27" s="87">
        <f t="shared" si="33"/>
        <v>1</v>
      </c>
      <c r="X27" s="88">
        <f t="shared" si="14"/>
        <v>1</v>
      </c>
      <c r="Y27" s="84">
        <f t="shared" si="15"/>
        <v>5368.93376</v>
      </c>
      <c r="Z27" s="91"/>
      <c r="AA27" s="91">
        <v>3768.93376</v>
      </c>
      <c r="AB27" s="91"/>
      <c r="AC27" s="91">
        <f t="shared" si="5"/>
        <v>421721.4168</v>
      </c>
      <c r="AD27" s="91">
        <f t="shared" si="5"/>
        <v>327508.8068</v>
      </c>
      <c r="AE27" s="91">
        <f t="shared" si="5"/>
        <v>53913.042</v>
      </c>
      <c r="AF27" s="91">
        <f t="shared" si="16"/>
        <v>40299.567999999985</v>
      </c>
      <c r="AG27" s="91">
        <f t="shared" si="31"/>
        <v>2014.9783999999993</v>
      </c>
      <c r="AH27" s="91">
        <f t="shared" si="24"/>
        <v>5783.912159999999</v>
      </c>
      <c r="AI27" s="92">
        <f t="shared" si="8"/>
        <v>0.039702658847360364</v>
      </c>
      <c r="AJ27" s="86"/>
      <c r="AK27" s="94">
        <f t="shared" si="30"/>
        <v>1.5</v>
      </c>
      <c r="AL27" s="88">
        <f t="shared" si="9"/>
        <v>1.5</v>
      </c>
      <c r="AM27" s="95">
        <v>11181</v>
      </c>
      <c r="AN27" s="87">
        <v>12266</v>
      </c>
      <c r="AO27" s="96">
        <f t="shared" si="10"/>
        <v>0.9115441056579162</v>
      </c>
      <c r="AP27" s="86"/>
      <c r="AQ27" s="94">
        <f t="shared" si="28"/>
        <v>1</v>
      </c>
      <c r="AR27" s="97">
        <f t="shared" si="17"/>
        <v>1</v>
      </c>
      <c r="AS27" s="95">
        <v>26699</v>
      </c>
      <c r="AT27" s="87">
        <v>30284</v>
      </c>
      <c r="AU27" s="92">
        <f t="shared" si="18"/>
        <v>0.8816206577730815</v>
      </c>
      <c r="AV27" s="86"/>
      <c r="AW27" s="94">
        <f t="shared" si="29"/>
        <v>1</v>
      </c>
      <c r="AX27" s="97">
        <f t="shared" si="11"/>
        <v>1</v>
      </c>
      <c r="AY27" s="98">
        <f t="shared" si="12"/>
        <v>6.5</v>
      </c>
    </row>
    <row r="28" spans="1:51" s="9" customFormat="1" ht="12.75">
      <c r="A28" s="83" t="s">
        <v>80</v>
      </c>
      <c r="B28" s="84">
        <v>0</v>
      </c>
      <c r="C28" s="84">
        <v>3425.2866400000003</v>
      </c>
      <c r="D28" s="84">
        <v>0</v>
      </c>
      <c r="E28" s="85">
        <f t="shared" si="13"/>
        <v>0</v>
      </c>
      <c r="F28" s="86"/>
      <c r="G28" s="87">
        <f t="shared" si="32"/>
        <v>1</v>
      </c>
      <c r="H28" s="88">
        <f t="shared" si="0"/>
        <v>1</v>
      </c>
      <c r="I28" s="84">
        <v>0</v>
      </c>
      <c r="J28" s="84">
        <v>216457.27596</v>
      </c>
      <c r="K28" s="89">
        <v>174038.27596</v>
      </c>
      <c r="L28" s="84">
        <v>24481.125</v>
      </c>
      <c r="M28" s="84">
        <v>0</v>
      </c>
      <c r="N28" s="85">
        <f t="shared" si="20"/>
        <v>0</v>
      </c>
      <c r="O28" s="86"/>
      <c r="P28" s="87">
        <f t="shared" si="34"/>
        <v>1</v>
      </c>
      <c r="Q28" s="88">
        <f t="shared" si="2"/>
        <v>1</v>
      </c>
      <c r="R28" s="90">
        <v>0</v>
      </c>
      <c r="S28" s="84">
        <v>219882.5626</v>
      </c>
      <c r="T28" s="89">
        <v>94062.77749</v>
      </c>
      <c r="U28" s="85">
        <f t="shared" si="3"/>
        <v>0</v>
      </c>
      <c r="V28" s="86"/>
      <c r="W28" s="87">
        <f t="shared" si="33"/>
        <v>1</v>
      </c>
      <c r="X28" s="88">
        <f t="shared" si="14"/>
        <v>1</v>
      </c>
      <c r="Y28" s="84">
        <f t="shared" si="15"/>
        <v>3425.2866400000003</v>
      </c>
      <c r="Z28" s="91"/>
      <c r="AA28" s="91">
        <v>3425.2866400000003</v>
      </c>
      <c r="AB28" s="91"/>
      <c r="AC28" s="91">
        <f t="shared" si="5"/>
        <v>216457.27596</v>
      </c>
      <c r="AD28" s="91">
        <f t="shared" si="5"/>
        <v>174038.27596</v>
      </c>
      <c r="AE28" s="91">
        <f t="shared" si="5"/>
        <v>24481.125</v>
      </c>
      <c r="AF28" s="91">
        <f t="shared" si="16"/>
        <v>17937.875</v>
      </c>
      <c r="AG28" s="91">
        <f t="shared" si="31"/>
        <v>896.8937500000001</v>
      </c>
      <c r="AH28" s="91">
        <f t="shared" si="24"/>
        <v>4322.18039</v>
      </c>
      <c r="AI28" s="92">
        <f t="shared" si="8"/>
        <v>0</v>
      </c>
      <c r="AJ28" s="86"/>
      <c r="AK28" s="94">
        <f t="shared" si="30"/>
        <v>1.5</v>
      </c>
      <c r="AL28" s="88">
        <f t="shared" si="9"/>
        <v>1.5</v>
      </c>
      <c r="AM28" s="95">
        <v>8667</v>
      </c>
      <c r="AN28" s="87">
        <v>10906</v>
      </c>
      <c r="AO28" s="96">
        <f t="shared" si="10"/>
        <v>0.7947001650467632</v>
      </c>
      <c r="AP28" s="86"/>
      <c r="AQ28" s="94">
        <f t="shared" si="28"/>
        <v>1</v>
      </c>
      <c r="AR28" s="97">
        <f t="shared" si="17"/>
        <v>1</v>
      </c>
      <c r="AS28" s="95">
        <v>23305</v>
      </c>
      <c r="AT28" s="87">
        <v>27242</v>
      </c>
      <c r="AU28" s="92">
        <f t="shared" si="18"/>
        <v>0.8554805080390573</v>
      </c>
      <c r="AV28" s="86"/>
      <c r="AW28" s="94">
        <f t="shared" si="29"/>
        <v>1</v>
      </c>
      <c r="AX28" s="97">
        <f t="shared" si="11"/>
        <v>1</v>
      </c>
      <c r="AY28" s="98">
        <f t="shared" si="12"/>
        <v>6.5</v>
      </c>
    </row>
    <row r="29" spans="1:51" s="9" customFormat="1" ht="12.75">
      <c r="A29" s="83" t="s">
        <v>81</v>
      </c>
      <c r="B29" s="84">
        <v>0</v>
      </c>
      <c r="C29" s="84">
        <v>9452.35852</v>
      </c>
      <c r="D29" s="84">
        <v>0</v>
      </c>
      <c r="E29" s="85">
        <f t="shared" si="13"/>
        <v>0</v>
      </c>
      <c r="F29" s="86"/>
      <c r="G29" s="87">
        <f t="shared" si="32"/>
        <v>1</v>
      </c>
      <c r="H29" s="88">
        <f t="shared" si="0"/>
        <v>1</v>
      </c>
      <c r="I29" s="84">
        <v>0</v>
      </c>
      <c r="J29" s="84">
        <v>259317.71496</v>
      </c>
      <c r="K29" s="89">
        <v>188270.52696000002</v>
      </c>
      <c r="L29" s="84">
        <v>40686.925</v>
      </c>
      <c r="M29" s="84">
        <v>0</v>
      </c>
      <c r="N29" s="85">
        <f t="shared" si="20"/>
        <v>0</v>
      </c>
      <c r="O29" s="86"/>
      <c r="P29" s="87">
        <f t="shared" si="34"/>
        <v>1</v>
      </c>
      <c r="Q29" s="88">
        <f t="shared" si="2"/>
        <v>1</v>
      </c>
      <c r="R29" s="90">
        <v>0</v>
      </c>
      <c r="S29" s="84">
        <v>268770.07348</v>
      </c>
      <c r="T29" s="89">
        <v>114147.28745999999</v>
      </c>
      <c r="U29" s="85">
        <f t="shared" si="3"/>
        <v>0</v>
      </c>
      <c r="V29" s="86"/>
      <c r="W29" s="87">
        <f t="shared" si="33"/>
        <v>1</v>
      </c>
      <c r="X29" s="88">
        <f t="shared" si="14"/>
        <v>1</v>
      </c>
      <c r="Y29" s="84">
        <f t="shared" si="15"/>
        <v>9452.35852</v>
      </c>
      <c r="Z29" s="91"/>
      <c r="AA29" s="91">
        <v>9452.35852</v>
      </c>
      <c r="AB29" s="91"/>
      <c r="AC29" s="91">
        <f t="shared" si="5"/>
        <v>259317.71496</v>
      </c>
      <c r="AD29" s="91">
        <f t="shared" si="5"/>
        <v>188270.52696000002</v>
      </c>
      <c r="AE29" s="91">
        <f t="shared" si="5"/>
        <v>40686.925</v>
      </c>
      <c r="AF29" s="91">
        <f t="shared" si="16"/>
        <v>30360.26299999999</v>
      </c>
      <c r="AG29" s="91">
        <f t="shared" si="31"/>
        <v>1518.0131499999998</v>
      </c>
      <c r="AH29" s="91">
        <f t="shared" si="24"/>
        <v>10970.37167</v>
      </c>
      <c r="AI29" s="92">
        <f t="shared" si="8"/>
        <v>0</v>
      </c>
      <c r="AJ29" s="86"/>
      <c r="AK29" s="94">
        <f t="shared" si="30"/>
        <v>1.5</v>
      </c>
      <c r="AL29" s="88">
        <f t="shared" si="9"/>
        <v>1.5</v>
      </c>
      <c r="AM29" s="95">
        <v>10928</v>
      </c>
      <c r="AN29" s="87">
        <v>12266</v>
      </c>
      <c r="AO29" s="96">
        <f t="shared" si="10"/>
        <v>0.89091798467308</v>
      </c>
      <c r="AP29" s="86"/>
      <c r="AQ29" s="94">
        <f t="shared" si="28"/>
        <v>1</v>
      </c>
      <c r="AR29" s="97">
        <f t="shared" si="17"/>
        <v>1</v>
      </c>
      <c r="AS29" s="95">
        <v>27632</v>
      </c>
      <c r="AT29" s="87">
        <v>30284</v>
      </c>
      <c r="AU29" s="92">
        <f t="shared" si="18"/>
        <v>0.9124290054154008</v>
      </c>
      <c r="AV29" s="86"/>
      <c r="AW29" s="94">
        <f t="shared" si="29"/>
        <v>1</v>
      </c>
      <c r="AX29" s="97">
        <f t="shared" si="11"/>
        <v>1</v>
      </c>
      <c r="AY29" s="98">
        <f t="shared" si="12"/>
        <v>6.5</v>
      </c>
    </row>
    <row r="30" spans="1:51" s="9" customFormat="1" ht="12.75">
      <c r="A30" s="83" t="s">
        <v>82</v>
      </c>
      <c r="B30" s="84">
        <v>0</v>
      </c>
      <c r="C30" s="84">
        <v>12590.45973</v>
      </c>
      <c r="D30" s="84">
        <v>0</v>
      </c>
      <c r="E30" s="85">
        <f t="shared" si="13"/>
        <v>0</v>
      </c>
      <c r="F30" s="86"/>
      <c r="G30" s="87">
        <f t="shared" si="32"/>
        <v>1</v>
      </c>
      <c r="H30" s="88">
        <f t="shared" si="0"/>
        <v>1</v>
      </c>
      <c r="I30" s="84">
        <v>0</v>
      </c>
      <c r="J30" s="84">
        <v>375578.90486</v>
      </c>
      <c r="K30" s="89">
        <v>279602.42386000004</v>
      </c>
      <c r="L30" s="84">
        <v>61990.838</v>
      </c>
      <c r="M30" s="84">
        <v>0</v>
      </c>
      <c r="N30" s="85">
        <f t="shared" si="20"/>
        <v>0</v>
      </c>
      <c r="O30" s="86"/>
      <c r="P30" s="87">
        <f>IF(N30&lt;=0.5,1,0)</f>
        <v>1</v>
      </c>
      <c r="Q30" s="88">
        <f>O30+P30</f>
        <v>1</v>
      </c>
      <c r="R30" s="90">
        <v>0</v>
      </c>
      <c r="S30" s="84">
        <v>388169.36458999995</v>
      </c>
      <c r="T30" s="89">
        <v>188681.21146000002</v>
      </c>
      <c r="U30" s="85">
        <f t="shared" si="3"/>
        <v>0</v>
      </c>
      <c r="V30" s="86"/>
      <c r="W30" s="87">
        <f t="shared" si="33"/>
        <v>1</v>
      </c>
      <c r="X30" s="88">
        <f t="shared" si="14"/>
        <v>1</v>
      </c>
      <c r="Y30" s="84">
        <f t="shared" si="15"/>
        <v>12590.45973</v>
      </c>
      <c r="Z30" s="91"/>
      <c r="AA30" s="91">
        <v>12590.45973</v>
      </c>
      <c r="AB30" s="91"/>
      <c r="AC30" s="91">
        <f t="shared" si="5"/>
        <v>375578.90486</v>
      </c>
      <c r="AD30" s="91">
        <f t="shared" si="5"/>
        <v>279602.42386000004</v>
      </c>
      <c r="AE30" s="91">
        <f t="shared" si="5"/>
        <v>61990.838</v>
      </c>
      <c r="AF30" s="91">
        <f t="shared" si="16"/>
        <v>33985.64299999997</v>
      </c>
      <c r="AG30" s="91">
        <f>AF30*10%</f>
        <v>3398.564299999997</v>
      </c>
      <c r="AH30" s="91">
        <f t="shared" si="24"/>
        <v>15989.024029999997</v>
      </c>
      <c r="AI30" s="92">
        <f t="shared" si="8"/>
        <v>0</v>
      </c>
      <c r="AJ30" s="93"/>
      <c r="AK30" s="94">
        <f t="shared" si="30"/>
        <v>1.5</v>
      </c>
      <c r="AL30" s="88">
        <f t="shared" si="9"/>
        <v>1.5</v>
      </c>
      <c r="AM30" s="95">
        <v>14178</v>
      </c>
      <c r="AN30" s="87">
        <v>14513</v>
      </c>
      <c r="AO30" s="96">
        <f t="shared" si="10"/>
        <v>0.9769172466064907</v>
      </c>
      <c r="AP30" s="93"/>
      <c r="AQ30" s="94">
        <f t="shared" si="28"/>
        <v>1</v>
      </c>
      <c r="AR30" s="97">
        <f t="shared" si="17"/>
        <v>1</v>
      </c>
      <c r="AS30" s="95">
        <v>32631</v>
      </c>
      <c r="AT30" s="87">
        <v>34457</v>
      </c>
      <c r="AU30" s="92">
        <f t="shared" si="18"/>
        <v>0.947006413791102</v>
      </c>
      <c r="AV30" s="93"/>
      <c r="AW30" s="94">
        <f t="shared" si="29"/>
        <v>1</v>
      </c>
      <c r="AX30" s="97">
        <f t="shared" si="11"/>
        <v>1</v>
      </c>
      <c r="AY30" s="98">
        <f t="shared" si="12"/>
        <v>6.5</v>
      </c>
    </row>
    <row r="31" spans="1:51" s="9" customFormat="1" ht="12.75">
      <c r="A31" s="83" t="s">
        <v>83</v>
      </c>
      <c r="B31" s="84">
        <v>0</v>
      </c>
      <c r="C31" s="84">
        <v>6035.95727</v>
      </c>
      <c r="D31" s="84">
        <v>0</v>
      </c>
      <c r="E31" s="85">
        <f t="shared" si="13"/>
        <v>0</v>
      </c>
      <c r="F31" s="86"/>
      <c r="G31" s="87">
        <f t="shared" si="32"/>
        <v>1</v>
      </c>
      <c r="H31" s="88">
        <f t="shared" si="0"/>
        <v>1</v>
      </c>
      <c r="I31" s="84">
        <v>0</v>
      </c>
      <c r="J31" s="84">
        <v>250915.51927000002</v>
      </c>
      <c r="K31" s="89">
        <v>221691.29027</v>
      </c>
      <c r="L31" s="84">
        <v>17073.605</v>
      </c>
      <c r="M31" s="84">
        <v>0</v>
      </c>
      <c r="N31" s="85">
        <f t="shared" si="20"/>
        <v>0</v>
      </c>
      <c r="O31" s="86"/>
      <c r="P31" s="87">
        <f t="shared" si="34"/>
        <v>1</v>
      </c>
      <c r="Q31" s="88">
        <f t="shared" si="2"/>
        <v>1</v>
      </c>
      <c r="R31" s="90">
        <v>0</v>
      </c>
      <c r="S31" s="84">
        <v>256951.47654</v>
      </c>
      <c r="T31" s="89">
        <v>125232.97602</v>
      </c>
      <c r="U31" s="85">
        <f t="shared" si="3"/>
        <v>0</v>
      </c>
      <c r="V31" s="86"/>
      <c r="W31" s="87">
        <f t="shared" si="33"/>
        <v>1</v>
      </c>
      <c r="X31" s="88">
        <f t="shared" si="14"/>
        <v>1</v>
      </c>
      <c r="Y31" s="84">
        <f t="shared" si="15"/>
        <v>6035.95727</v>
      </c>
      <c r="Z31" s="91"/>
      <c r="AA31" s="91">
        <v>6035.95727</v>
      </c>
      <c r="AB31" s="91"/>
      <c r="AC31" s="91">
        <f t="shared" si="5"/>
        <v>250915.51927000002</v>
      </c>
      <c r="AD31" s="91">
        <f t="shared" si="5"/>
        <v>221691.29027</v>
      </c>
      <c r="AE31" s="91">
        <f t="shared" si="5"/>
        <v>17073.605</v>
      </c>
      <c r="AF31" s="91">
        <f t="shared" si="16"/>
        <v>12150.624000000022</v>
      </c>
      <c r="AG31" s="91">
        <f t="shared" si="31"/>
        <v>607.5312000000011</v>
      </c>
      <c r="AH31" s="91">
        <f t="shared" si="24"/>
        <v>6643.488470000001</v>
      </c>
      <c r="AI31" s="92">
        <f t="shared" si="8"/>
        <v>0</v>
      </c>
      <c r="AJ31" s="86"/>
      <c r="AK31" s="94">
        <f t="shared" si="30"/>
        <v>1.5</v>
      </c>
      <c r="AL31" s="88">
        <f t="shared" si="9"/>
        <v>1.5</v>
      </c>
      <c r="AM31" s="95">
        <v>7695</v>
      </c>
      <c r="AN31" s="87">
        <v>10129</v>
      </c>
      <c r="AO31" s="96">
        <f t="shared" si="10"/>
        <v>0.7596998716556422</v>
      </c>
      <c r="AP31" s="86"/>
      <c r="AQ31" s="94">
        <f t="shared" si="28"/>
        <v>1</v>
      </c>
      <c r="AR31" s="97">
        <f t="shared" si="17"/>
        <v>1</v>
      </c>
      <c r="AS31" s="95">
        <v>21266</v>
      </c>
      <c r="AT31" s="87">
        <v>24147</v>
      </c>
      <c r="AU31" s="92">
        <f t="shared" si="18"/>
        <v>0.8806891125191535</v>
      </c>
      <c r="AV31" s="86"/>
      <c r="AW31" s="94">
        <f t="shared" si="29"/>
        <v>1</v>
      </c>
      <c r="AX31" s="97">
        <f t="shared" si="11"/>
        <v>1</v>
      </c>
      <c r="AY31" s="98">
        <f t="shared" si="12"/>
        <v>6.5</v>
      </c>
    </row>
    <row r="32" spans="1:51" s="9" customFormat="1" ht="12.75">
      <c r="A32" s="83" t="s">
        <v>84</v>
      </c>
      <c r="B32" s="84">
        <v>0</v>
      </c>
      <c r="C32" s="84">
        <v>5728.20197</v>
      </c>
      <c r="D32" s="84">
        <v>0</v>
      </c>
      <c r="E32" s="85">
        <f t="shared" si="13"/>
        <v>0</v>
      </c>
      <c r="F32" s="86"/>
      <c r="G32" s="87">
        <f t="shared" si="32"/>
        <v>1</v>
      </c>
      <c r="H32" s="88">
        <f t="shared" si="0"/>
        <v>1</v>
      </c>
      <c r="I32" s="84">
        <v>0</v>
      </c>
      <c r="J32" s="84">
        <v>466148.11569</v>
      </c>
      <c r="K32" s="89">
        <v>320860.11194</v>
      </c>
      <c r="L32" s="84">
        <v>95749.707</v>
      </c>
      <c r="M32" s="84">
        <v>0</v>
      </c>
      <c r="N32" s="85">
        <f t="shared" si="20"/>
        <v>0</v>
      </c>
      <c r="O32" s="86"/>
      <c r="P32" s="87">
        <f t="shared" si="34"/>
        <v>1</v>
      </c>
      <c r="Q32" s="88">
        <f t="shared" si="2"/>
        <v>1</v>
      </c>
      <c r="R32" s="90">
        <v>0</v>
      </c>
      <c r="S32" s="84">
        <v>471876.31766</v>
      </c>
      <c r="T32" s="89">
        <v>209449.24954</v>
      </c>
      <c r="U32" s="85">
        <f t="shared" si="3"/>
        <v>0</v>
      </c>
      <c r="V32" s="86"/>
      <c r="W32" s="87">
        <f t="shared" si="33"/>
        <v>1</v>
      </c>
      <c r="X32" s="88">
        <f t="shared" si="14"/>
        <v>1</v>
      </c>
      <c r="Y32" s="84">
        <f t="shared" si="15"/>
        <v>5728.20197</v>
      </c>
      <c r="Z32" s="91"/>
      <c r="AA32" s="91">
        <v>5728.20197</v>
      </c>
      <c r="AB32" s="91"/>
      <c r="AC32" s="91">
        <f t="shared" si="5"/>
        <v>466148.11569</v>
      </c>
      <c r="AD32" s="91">
        <f t="shared" si="5"/>
        <v>320860.11194</v>
      </c>
      <c r="AE32" s="91">
        <f t="shared" si="5"/>
        <v>95749.707</v>
      </c>
      <c r="AF32" s="91">
        <f t="shared" si="16"/>
        <v>49538.29675000004</v>
      </c>
      <c r="AG32" s="91">
        <f t="shared" si="31"/>
        <v>2476.9148375000022</v>
      </c>
      <c r="AH32" s="91">
        <f t="shared" si="24"/>
        <v>8205.116807500002</v>
      </c>
      <c r="AI32" s="92">
        <f t="shared" si="8"/>
        <v>0</v>
      </c>
      <c r="AJ32" s="86"/>
      <c r="AK32" s="94">
        <f t="shared" si="30"/>
        <v>1.5</v>
      </c>
      <c r="AL32" s="88">
        <f t="shared" si="9"/>
        <v>1.5</v>
      </c>
      <c r="AM32" s="95">
        <v>13975</v>
      </c>
      <c r="AN32" s="87">
        <v>14513</v>
      </c>
      <c r="AO32" s="96">
        <f>AM32/AN32</f>
        <v>0.9629297870874388</v>
      </c>
      <c r="AP32" s="86"/>
      <c r="AQ32" s="94">
        <f t="shared" si="28"/>
        <v>1</v>
      </c>
      <c r="AR32" s="97">
        <f t="shared" si="17"/>
        <v>1</v>
      </c>
      <c r="AS32" s="95">
        <v>34440</v>
      </c>
      <c r="AT32" s="87">
        <v>34457</v>
      </c>
      <c r="AU32" s="96">
        <f t="shared" si="18"/>
        <v>0.9995066314536959</v>
      </c>
      <c r="AV32" s="86"/>
      <c r="AW32" s="94">
        <f t="shared" si="29"/>
        <v>1</v>
      </c>
      <c r="AX32" s="97">
        <f t="shared" si="11"/>
        <v>1</v>
      </c>
      <c r="AY32" s="98">
        <f t="shared" si="12"/>
        <v>6.5</v>
      </c>
    </row>
    <row r="33" spans="1:51" s="9" customFormat="1" ht="12.75">
      <c r="A33" s="83" t="s">
        <v>85</v>
      </c>
      <c r="B33" s="84">
        <v>0</v>
      </c>
      <c r="C33" s="84">
        <v>9112.569220000001</v>
      </c>
      <c r="D33" s="84">
        <v>0</v>
      </c>
      <c r="E33" s="85">
        <f>IF(AND(B33=0,D33=0),0,B33/(IF(C33&gt;0,C33,0)+D33))</f>
        <v>0</v>
      </c>
      <c r="F33" s="86"/>
      <c r="G33" s="87">
        <f t="shared" si="32"/>
        <v>1</v>
      </c>
      <c r="H33" s="88">
        <f>F33+G33</f>
        <v>1</v>
      </c>
      <c r="I33" s="84">
        <v>0</v>
      </c>
      <c r="J33" s="84">
        <v>631644.69042</v>
      </c>
      <c r="K33" s="89">
        <v>503279.79342</v>
      </c>
      <c r="L33" s="84">
        <v>71144.286</v>
      </c>
      <c r="M33" s="84">
        <v>0</v>
      </c>
      <c r="N33" s="85">
        <f>(I33-M33)/(J33-K33-L33)</f>
        <v>0</v>
      </c>
      <c r="O33" s="86"/>
      <c r="P33" s="87">
        <f t="shared" si="34"/>
        <v>1</v>
      </c>
      <c r="Q33" s="88">
        <f>O33+P33</f>
        <v>1</v>
      </c>
      <c r="R33" s="90">
        <v>0</v>
      </c>
      <c r="S33" s="84">
        <v>640757.25964</v>
      </c>
      <c r="T33" s="89">
        <v>312427.69223000004</v>
      </c>
      <c r="U33" s="85">
        <f>R33/(S33-T33)</f>
        <v>0</v>
      </c>
      <c r="V33" s="86"/>
      <c r="W33" s="87">
        <f t="shared" si="33"/>
        <v>1</v>
      </c>
      <c r="X33" s="88">
        <f t="shared" si="14"/>
        <v>1</v>
      </c>
      <c r="Y33" s="84">
        <f t="shared" si="15"/>
        <v>9112.569220000001</v>
      </c>
      <c r="Z33" s="91"/>
      <c r="AA33" s="91">
        <v>9112.569220000001</v>
      </c>
      <c r="AB33" s="91"/>
      <c r="AC33" s="91">
        <f t="shared" si="5"/>
        <v>631644.69042</v>
      </c>
      <c r="AD33" s="91">
        <f t="shared" si="5"/>
        <v>503279.79342</v>
      </c>
      <c r="AE33" s="91">
        <f t="shared" si="5"/>
        <v>71144.286</v>
      </c>
      <c r="AF33" s="91">
        <f>AC33-AD33-AE33</f>
        <v>57220.611000000004</v>
      </c>
      <c r="AG33" s="91">
        <f>AF33*10%</f>
        <v>5722.061100000001</v>
      </c>
      <c r="AH33" s="91">
        <f>IF(AA33&gt;0,AA33,0)+AG33+IF(AB33&gt;0,AB33,0)</f>
        <v>14834.630320000002</v>
      </c>
      <c r="AI33" s="92">
        <f t="shared" si="8"/>
        <v>0</v>
      </c>
      <c r="AJ33" s="93"/>
      <c r="AK33" s="94">
        <f t="shared" si="30"/>
        <v>1.5</v>
      </c>
      <c r="AL33" s="88">
        <f>AJ33+AK33</f>
        <v>1.5</v>
      </c>
      <c r="AM33" s="95">
        <v>16486</v>
      </c>
      <c r="AN33" s="87">
        <v>17572</v>
      </c>
      <c r="AO33" s="96">
        <f>AM33/AN33</f>
        <v>0.9381971318005918</v>
      </c>
      <c r="AP33" s="93"/>
      <c r="AQ33" s="94">
        <f t="shared" si="28"/>
        <v>1</v>
      </c>
      <c r="AR33" s="97">
        <f>AP33+AQ33</f>
        <v>1</v>
      </c>
      <c r="AS33" s="95">
        <v>38615</v>
      </c>
      <c r="AT33" s="87">
        <v>40219</v>
      </c>
      <c r="AU33" s="92">
        <f t="shared" si="18"/>
        <v>0.9601183520226758</v>
      </c>
      <c r="AV33" s="93"/>
      <c r="AW33" s="94">
        <f t="shared" si="29"/>
        <v>1</v>
      </c>
      <c r="AX33" s="97">
        <f t="shared" si="11"/>
        <v>1</v>
      </c>
      <c r="AY33" s="98">
        <f t="shared" si="12"/>
        <v>6.5</v>
      </c>
    </row>
    <row r="34" spans="1:51" s="9" customFormat="1" ht="12.75">
      <c r="A34" s="105" t="s">
        <v>86</v>
      </c>
      <c r="B34" s="62">
        <v>0</v>
      </c>
      <c r="C34" s="62">
        <v>4790.721</v>
      </c>
      <c r="D34" s="62">
        <v>0</v>
      </c>
      <c r="E34" s="69">
        <f t="shared" si="13"/>
        <v>0</v>
      </c>
      <c r="F34" s="64">
        <f>IF(E34&lt;=1.05,1,0)</f>
        <v>1</v>
      </c>
      <c r="G34" s="76"/>
      <c r="H34" s="77">
        <f t="shared" si="0"/>
        <v>1</v>
      </c>
      <c r="I34" s="62">
        <v>0</v>
      </c>
      <c r="J34" s="62">
        <v>154606.86465</v>
      </c>
      <c r="K34" s="68">
        <v>120756.86465</v>
      </c>
      <c r="L34" s="62">
        <v>20651.103</v>
      </c>
      <c r="M34" s="62">
        <v>0</v>
      </c>
      <c r="N34" s="69">
        <f>(I34-M34)/(J34-K34-L34)</f>
        <v>0</v>
      </c>
      <c r="O34" s="64">
        <f>IF(N34&lt;=1,1,0)</f>
        <v>1</v>
      </c>
      <c r="P34" s="76"/>
      <c r="Q34" s="77">
        <f>O34+P34</f>
        <v>1</v>
      </c>
      <c r="R34" s="101">
        <v>0</v>
      </c>
      <c r="S34" s="62">
        <v>159397.58565</v>
      </c>
      <c r="T34" s="68">
        <v>67858.49365</v>
      </c>
      <c r="U34" s="69">
        <f>R34/(S34-T34)</f>
        <v>0</v>
      </c>
      <c r="V34" s="64">
        <f>IF(U34&lt;=0.15,1,0)</f>
        <v>1</v>
      </c>
      <c r="W34" s="76"/>
      <c r="X34" s="77">
        <f t="shared" si="14"/>
        <v>1</v>
      </c>
      <c r="Y34" s="62">
        <f t="shared" si="15"/>
        <v>4790.721</v>
      </c>
      <c r="Z34" s="72"/>
      <c r="AA34" s="72">
        <v>4790.721</v>
      </c>
      <c r="AB34" s="72"/>
      <c r="AC34" s="72">
        <f t="shared" si="5"/>
        <v>154606.86465</v>
      </c>
      <c r="AD34" s="72">
        <f t="shared" si="5"/>
        <v>120756.86465</v>
      </c>
      <c r="AE34" s="72">
        <f t="shared" si="5"/>
        <v>20651.103</v>
      </c>
      <c r="AF34" s="72">
        <f t="shared" si="16"/>
        <v>13198.897</v>
      </c>
      <c r="AG34" s="72">
        <f aca="true" t="shared" si="35" ref="AG34:AG39">AF34*5%</f>
        <v>659.9448500000001</v>
      </c>
      <c r="AH34" s="72">
        <f t="shared" si="24"/>
        <v>5450.665849999999</v>
      </c>
      <c r="AI34" s="104">
        <f t="shared" si="8"/>
        <v>0</v>
      </c>
      <c r="AJ34" s="75">
        <f>IF(AI34&lt;=0.1,1.5,0)</f>
        <v>1.5</v>
      </c>
      <c r="AK34" s="106"/>
      <c r="AL34" s="77">
        <f>AJ34+AK34</f>
        <v>1.5</v>
      </c>
      <c r="AM34" s="78">
        <v>7590</v>
      </c>
      <c r="AN34" s="76">
        <v>9971</v>
      </c>
      <c r="AO34" s="103">
        <f>AM34/AN34</f>
        <v>0.7612075017550898</v>
      </c>
      <c r="AP34" s="75">
        <f>IF(AO34&lt;=1,1,0)</f>
        <v>1</v>
      </c>
      <c r="AQ34" s="106"/>
      <c r="AR34" s="107">
        <f>AP34+AQ34</f>
        <v>1</v>
      </c>
      <c r="AS34" s="78">
        <v>21357</v>
      </c>
      <c r="AT34" s="76">
        <v>25171</v>
      </c>
      <c r="AU34" s="104">
        <f t="shared" si="18"/>
        <v>0.8484764212784554</v>
      </c>
      <c r="AV34" s="75">
        <f>IF(AU34&lt;=1,1,0)</f>
        <v>1</v>
      </c>
      <c r="AW34" s="106"/>
      <c r="AX34" s="107">
        <f t="shared" si="11"/>
        <v>1</v>
      </c>
      <c r="AY34" s="102">
        <f t="shared" si="12"/>
        <v>6.5</v>
      </c>
    </row>
    <row r="35" spans="1:51" s="9" customFormat="1" ht="12.75">
      <c r="A35" s="83" t="s">
        <v>87</v>
      </c>
      <c r="B35" s="84">
        <v>0</v>
      </c>
      <c r="C35" s="84">
        <v>3296.03698</v>
      </c>
      <c r="D35" s="84">
        <v>0</v>
      </c>
      <c r="E35" s="85">
        <f>IF(AND(B35=0,D35=0),0,B35/(IF(C35&gt;0,C35,0)+D35))</f>
        <v>0</v>
      </c>
      <c r="F35" s="86"/>
      <c r="G35" s="87">
        <f>IF(E35&lt;=1.05,1,0)</f>
        <v>1</v>
      </c>
      <c r="H35" s="88">
        <f t="shared" si="0"/>
        <v>1</v>
      </c>
      <c r="I35" s="84">
        <v>0</v>
      </c>
      <c r="J35" s="84">
        <v>278187.50639999995</v>
      </c>
      <c r="K35" s="89">
        <v>195754.4064</v>
      </c>
      <c r="L35" s="84">
        <v>35326.607</v>
      </c>
      <c r="M35" s="84">
        <v>0</v>
      </c>
      <c r="N35" s="85">
        <f>(I35-M35)/(J35-K35-L35)</f>
        <v>0</v>
      </c>
      <c r="O35" s="86"/>
      <c r="P35" s="87">
        <f>IF(N35&lt;=0.5,1,0)</f>
        <v>1</v>
      </c>
      <c r="Q35" s="88">
        <f>O35+P35</f>
        <v>1</v>
      </c>
      <c r="R35" s="90">
        <v>0</v>
      </c>
      <c r="S35" s="84">
        <v>281483.54338</v>
      </c>
      <c r="T35" s="89">
        <v>114411.6895</v>
      </c>
      <c r="U35" s="85">
        <f>R35/(S35-T35)</f>
        <v>0</v>
      </c>
      <c r="V35" s="86"/>
      <c r="W35" s="87">
        <f>IF(U35&lt;=0.15,1,0)</f>
        <v>1</v>
      </c>
      <c r="X35" s="88">
        <f t="shared" si="14"/>
        <v>1</v>
      </c>
      <c r="Y35" s="84">
        <f t="shared" si="15"/>
        <v>3296.03698</v>
      </c>
      <c r="Z35" s="91"/>
      <c r="AA35" s="91">
        <v>3296.03698</v>
      </c>
      <c r="AB35" s="91"/>
      <c r="AC35" s="91">
        <f t="shared" si="5"/>
        <v>278187.50639999995</v>
      </c>
      <c r="AD35" s="91">
        <f t="shared" si="5"/>
        <v>195754.4064</v>
      </c>
      <c r="AE35" s="91">
        <f t="shared" si="5"/>
        <v>35326.607</v>
      </c>
      <c r="AF35" s="91">
        <f t="shared" si="16"/>
        <v>47106.492999999944</v>
      </c>
      <c r="AG35" s="91">
        <f t="shared" si="35"/>
        <v>2355.3246499999973</v>
      </c>
      <c r="AH35" s="91">
        <f t="shared" si="24"/>
        <v>5651.361629999998</v>
      </c>
      <c r="AI35" s="92">
        <f t="shared" si="8"/>
        <v>0</v>
      </c>
      <c r="AJ35" s="93"/>
      <c r="AK35" s="94">
        <f>IF(AI35&lt;=0.05,1.5,0)</f>
        <v>1.5</v>
      </c>
      <c r="AL35" s="88">
        <f>AJ35+AK35</f>
        <v>1.5</v>
      </c>
      <c r="AM35" s="95">
        <v>10714</v>
      </c>
      <c r="AN35" s="87">
        <v>12266</v>
      </c>
      <c r="AO35" s="96">
        <f>AM35/AN35</f>
        <v>0.8734713843143649</v>
      </c>
      <c r="AP35" s="93"/>
      <c r="AQ35" s="94">
        <f>IF(AO35&lt;=1,1,0)</f>
        <v>1</v>
      </c>
      <c r="AR35" s="97">
        <f>AP35+AQ35</f>
        <v>1</v>
      </c>
      <c r="AS35" s="95">
        <v>26423</v>
      </c>
      <c r="AT35" s="87">
        <v>30284</v>
      </c>
      <c r="AU35" s="92">
        <f t="shared" si="18"/>
        <v>0.8725069343547748</v>
      </c>
      <c r="AV35" s="93"/>
      <c r="AW35" s="94">
        <f>IF(AU35&lt;=1,1,0)</f>
        <v>1</v>
      </c>
      <c r="AX35" s="97">
        <f t="shared" si="11"/>
        <v>1</v>
      </c>
      <c r="AY35" s="98">
        <f t="shared" si="12"/>
        <v>6.5</v>
      </c>
    </row>
    <row r="36" spans="1:51" s="9" customFormat="1" ht="12.75">
      <c r="A36" s="105" t="s">
        <v>88</v>
      </c>
      <c r="B36" s="62">
        <v>0</v>
      </c>
      <c r="C36" s="62">
        <v>38400.3624</v>
      </c>
      <c r="D36" s="62">
        <v>0</v>
      </c>
      <c r="E36" s="69">
        <f t="shared" si="13"/>
        <v>0</v>
      </c>
      <c r="F36" s="100">
        <f>IF(E36&lt;=1.05,1,0)</f>
        <v>1</v>
      </c>
      <c r="G36" s="76"/>
      <c r="H36" s="77">
        <f t="shared" si="0"/>
        <v>1</v>
      </c>
      <c r="I36" s="62">
        <v>0</v>
      </c>
      <c r="J36" s="62">
        <v>325010.41149</v>
      </c>
      <c r="K36" s="68">
        <v>217280.01149</v>
      </c>
      <c r="L36" s="62">
        <v>51757.016</v>
      </c>
      <c r="M36" s="62">
        <v>0</v>
      </c>
      <c r="N36" s="69">
        <f t="shared" si="20"/>
        <v>0</v>
      </c>
      <c r="O36" s="100">
        <f>IF(N36&lt;=1,1,0)</f>
        <v>1</v>
      </c>
      <c r="P36" s="76"/>
      <c r="Q36" s="77">
        <f t="shared" si="2"/>
        <v>1</v>
      </c>
      <c r="R36" s="101">
        <v>0</v>
      </c>
      <c r="S36" s="62">
        <v>363410.77389</v>
      </c>
      <c r="T36" s="68">
        <v>162390.95244</v>
      </c>
      <c r="U36" s="69">
        <f t="shared" si="3"/>
        <v>0</v>
      </c>
      <c r="V36" s="100">
        <f>IF(U36&lt;=0.15,1,0)</f>
        <v>1</v>
      </c>
      <c r="W36" s="76"/>
      <c r="X36" s="77">
        <f t="shared" si="14"/>
        <v>1</v>
      </c>
      <c r="Y36" s="62">
        <f t="shared" si="15"/>
        <v>38400.3624</v>
      </c>
      <c r="Z36" s="72"/>
      <c r="AA36" s="72">
        <v>38400.3624</v>
      </c>
      <c r="AB36" s="72"/>
      <c r="AC36" s="72">
        <f t="shared" si="5"/>
        <v>325010.41149</v>
      </c>
      <c r="AD36" s="72">
        <f t="shared" si="5"/>
        <v>217280.01149</v>
      </c>
      <c r="AE36" s="72">
        <f t="shared" si="5"/>
        <v>51757.016</v>
      </c>
      <c r="AF36" s="72">
        <f t="shared" si="16"/>
        <v>55973.38400000002</v>
      </c>
      <c r="AG36" s="72">
        <f t="shared" si="35"/>
        <v>2798.669200000001</v>
      </c>
      <c r="AH36" s="72">
        <f t="shared" si="24"/>
        <v>41199.0316</v>
      </c>
      <c r="AI36" s="104">
        <f t="shared" si="8"/>
        <v>0</v>
      </c>
      <c r="AJ36" s="75">
        <f>IF(AI36&lt;=0.1,1.5,0)</f>
        <v>1.5</v>
      </c>
      <c r="AK36" s="106"/>
      <c r="AL36" s="77">
        <f t="shared" si="9"/>
        <v>1.5</v>
      </c>
      <c r="AM36" s="78">
        <v>11489</v>
      </c>
      <c r="AN36" s="76">
        <v>11857</v>
      </c>
      <c r="AO36" s="103">
        <f t="shared" si="10"/>
        <v>0.9689634814877288</v>
      </c>
      <c r="AP36" s="75">
        <f>IF(AO36&lt;=1,1,0)</f>
        <v>1</v>
      </c>
      <c r="AQ36" s="106"/>
      <c r="AR36" s="107">
        <f t="shared" si="17"/>
        <v>1</v>
      </c>
      <c r="AS36" s="78">
        <v>27180</v>
      </c>
      <c r="AT36" s="76">
        <v>28204</v>
      </c>
      <c r="AU36" s="104">
        <f t="shared" si="18"/>
        <v>0.9636930931782726</v>
      </c>
      <c r="AV36" s="75">
        <f>IF(AU36&lt;=1,1,0)</f>
        <v>1</v>
      </c>
      <c r="AW36" s="106"/>
      <c r="AX36" s="107">
        <f t="shared" si="11"/>
        <v>1</v>
      </c>
      <c r="AY36" s="102">
        <f t="shared" si="12"/>
        <v>6.5</v>
      </c>
    </row>
    <row r="37" spans="1:51" s="9" customFormat="1" ht="12.75">
      <c r="A37" s="83" t="s">
        <v>89</v>
      </c>
      <c r="B37" s="84">
        <v>0</v>
      </c>
      <c r="C37" s="84">
        <v>5184.52173</v>
      </c>
      <c r="D37" s="84">
        <v>0</v>
      </c>
      <c r="E37" s="85">
        <f t="shared" si="13"/>
        <v>0</v>
      </c>
      <c r="F37" s="86"/>
      <c r="G37" s="87">
        <f t="shared" si="32"/>
        <v>1</v>
      </c>
      <c r="H37" s="88">
        <f t="shared" si="0"/>
        <v>1</v>
      </c>
      <c r="I37" s="84">
        <v>0</v>
      </c>
      <c r="J37" s="84">
        <v>316501.73164</v>
      </c>
      <c r="K37" s="89">
        <v>237263.42164</v>
      </c>
      <c r="L37" s="84">
        <v>47464.435</v>
      </c>
      <c r="M37" s="84">
        <v>0</v>
      </c>
      <c r="N37" s="85">
        <f t="shared" si="20"/>
        <v>0</v>
      </c>
      <c r="O37" s="86"/>
      <c r="P37" s="87">
        <f t="shared" si="34"/>
        <v>1</v>
      </c>
      <c r="Q37" s="88">
        <f t="shared" si="2"/>
        <v>1</v>
      </c>
      <c r="R37" s="90">
        <v>0</v>
      </c>
      <c r="S37" s="84">
        <v>321686.25337</v>
      </c>
      <c r="T37" s="89">
        <v>96549.65664</v>
      </c>
      <c r="U37" s="85">
        <f t="shared" si="3"/>
        <v>0</v>
      </c>
      <c r="V37" s="86"/>
      <c r="W37" s="87">
        <f t="shared" si="33"/>
        <v>1</v>
      </c>
      <c r="X37" s="88">
        <f t="shared" si="14"/>
        <v>1</v>
      </c>
      <c r="Y37" s="84">
        <f t="shared" si="15"/>
        <v>5184.52173</v>
      </c>
      <c r="Z37" s="91"/>
      <c r="AA37" s="91">
        <v>5184.52173</v>
      </c>
      <c r="AB37" s="91"/>
      <c r="AC37" s="91">
        <f t="shared" si="5"/>
        <v>316501.73164</v>
      </c>
      <c r="AD37" s="91">
        <f t="shared" si="5"/>
        <v>237263.42164</v>
      </c>
      <c r="AE37" s="91">
        <f t="shared" si="5"/>
        <v>47464.435</v>
      </c>
      <c r="AF37" s="91">
        <f t="shared" si="16"/>
        <v>31773.87500000003</v>
      </c>
      <c r="AG37" s="91">
        <f t="shared" si="35"/>
        <v>1588.6937500000015</v>
      </c>
      <c r="AH37" s="91">
        <f t="shared" si="24"/>
        <v>6773.215480000002</v>
      </c>
      <c r="AI37" s="92">
        <f t="shared" si="8"/>
        <v>0</v>
      </c>
      <c r="AJ37" s="86"/>
      <c r="AK37" s="94">
        <f>IF(AI37&lt;=0.05,1.5,0)</f>
        <v>1.5</v>
      </c>
      <c r="AL37" s="88">
        <f t="shared" si="9"/>
        <v>1.5</v>
      </c>
      <c r="AM37" s="95">
        <v>10821</v>
      </c>
      <c r="AN37" s="87">
        <v>12266</v>
      </c>
      <c r="AO37" s="96">
        <f t="shared" si="10"/>
        <v>0.8821946844937225</v>
      </c>
      <c r="AP37" s="86"/>
      <c r="AQ37" s="94">
        <f>IF(AO37&lt;=1,1,0)</f>
        <v>1</v>
      </c>
      <c r="AR37" s="97">
        <f t="shared" si="17"/>
        <v>1</v>
      </c>
      <c r="AS37" s="95">
        <v>28008</v>
      </c>
      <c r="AT37" s="87">
        <v>30284</v>
      </c>
      <c r="AU37" s="92">
        <f t="shared" si="18"/>
        <v>0.9248448025359925</v>
      </c>
      <c r="AV37" s="86"/>
      <c r="AW37" s="94">
        <f>IF(AU37&lt;=1,1,0)</f>
        <v>1</v>
      </c>
      <c r="AX37" s="97">
        <f t="shared" si="11"/>
        <v>1</v>
      </c>
      <c r="AY37" s="98">
        <f t="shared" si="12"/>
        <v>6.5</v>
      </c>
    </row>
    <row r="38" spans="1:51" s="9" customFormat="1" ht="12.75">
      <c r="A38" s="83" t="s">
        <v>90</v>
      </c>
      <c r="B38" s="84">
        <v>0</v>
      </c>
      <c r="C38" s="84">
        <v>2270.3347000000003</v>
      </c>
      <c r="D38" s="84">
        <v>0</v>
      </c>
      <c r="E38" s="85">
        <f t="shared" si="13"/>
        <v>0</v>
      </c>
      <c r="F38" s="86"/>
      <c r="G38" s="87">
        <f t="shared" si="32"/>
        <v>1</v>
      </c>
      <c r="H38" s="88">
        <f t="shared" si="0"/>
        <v>1</v>
      </c>
      <c r="I38" s="84">
        <v>0</v>
      </c>
      <c r="J38" s="84">
        <v>453300.96502999996</v>
      </c>
      <c r="K38" s="89">
        <v>351519.96502999996</v>
      </c>
      <c r="L38" s="84">
        <v>61658.377</v>
      </c>
      <c r="M38" s="84">
        <v>0</v>
      </c>
      <c r="N38" s="85">
        <f t="shared" si="20"/>
        <v>0</v>
      </c>
      <c r="O38" s="86"/>
      <c r="P38" s="87">
        <f t="shared" si="34"/>
        <v>1</v>
      </c>
      <c r="Q38" s="88">
        <f t="shared" si="2"/>
        <v>1</v>
      </c>
      <c r="R38" s="90">
        <v>0</v>
      </c>
      <c r="S38" s="84">
        <v>455571.29973</v>
      </c>
      <c r="T38" s="89">
        <v>180520.49492</v>
      </c>
      <c r="U38" s="85">
        <f t="shared" si="3"/>
        <v>0</v>
      </c>
      <c r="V38" s="86"/>
      <c r="W38" s="87">
        <f t="shared" si="33"/>
        <v>1</v>
      </c>
      <c r="X38" s="88">
        <f t="shared" si="14"/>
        <v>1</v>
      </c>
      <c r="Y38" s="84">
        <f t="shared" si="15"/>
        <v>2270.3347000000003</v>
      </c>
      <c r="Z38" s="91"/>
      <c r="AA38" s="91">
        <v>2270.3347000000003</v>
      </c>
      <c r="AB38" s="91"/>
      <c r="AC38" s="91">
        <f t="shared" si="5"/>
        <v>453300.96502999996</v>
      </c>
      <c r="AD38" s="91">
        <f t="shared" si="5"/>
        <v>351519.96502999996</v>
      </c>
      <c r="AE38" s="91">
        <f t="shared" si="5"/>
        <v>61658.377</v>
      </c>
      <c r="AF38" s="91">
        <f t="shared" si="16"/>
        <v>40122.623</v>
      </c>
      <c r="AG38" s="91">
        <f t="shared" si="35"/>
        <v>2006.1311500000002</v>
      </c>
      <c r="AH38" s="91">
        <f t="shared" si="24"/>
        <v>4276.4658500000005</v>
      </c>
      <c r="AI38" s="92">
        <f t="shared" si="8"/>
        <v>0</v>
      </c>
      <c r="AJ38" s="86"/>
      <c r="AK38" s="94">
        <f>IF(AI38&lt;=0.05,1.5,0)</f>
        <v>1.5</v>
      </c>
      <c r="AL38" s="88">
        <f t="shared" si="9"/>
        <v>1.5</v>
      </c>
      <c r="AM38" s="95">
        <v>13411</v>
      </c>
      <c r="AN38" s="87">
        <v>14513</v>
      </c>
      <c r="AO38" s="96">
        <f t="shared" si="10"/>
        <v>0.9240680768965754</v>
      </c>
      <c r="AP38" s="86"/>
      <c r="AQ38" s="94">
        <f>IF(AO38&lt;=1,1,0)</f>
        <v>1</v>
      </c>
      <c r="AR38" s="97">
        <f t="shared" si="17"/>
        <v>1</v>
      </c>
      <c r="AS38" s="95">
        <v>33930</v>
      </c>
      <c r="AT38" s="87">
        <v>34457</v>
      </c>
      <c r="AU38" s="92">
        <f t="shared" si="18"/>
        <v>0.9847055750645732</v>
      </c>
      <c r="AV38" s="86"/>
      <c r="AW38" s="94">
        <f>IF(AU38&lt;=1,1,0)</f>
        <v>1</v>
      </c>
      <c r="AX38" s="97">
        <f t="shared" si="11"/>
        <v>1</v>
      </c>
      <c r="AY38" s="98">
        <f t="shared" si="12"/>
        <v>6.5</v>
      </c>
    </row>
    <row r="39" spans="1:51" ht="12.75">
      <c r="A39" s="83" t="s">
        <v>91</v>
      </c>
      <c r="B39" s="84">
        <v>5000</v>
      </c>
      <c r="C39" s="84">
        <v>3137.12902</v>
      </c>
      <c r="D39" s="84">
        <v>5000</v>
      </c>
      <c r="E39" s="85">
        <f t="shared" si="13"/>
        <v>0.6144673370313599</v>
      </c>
      <c r="F39" s="86"/>
      <c r="G39" s="87">
        <f t="shared" si="32"/>
        <v>1</v>
      </c>
      <c r="H39" s="88">
        <f>F39+G39</f>
        <v>1</v>
      </c>
      <c r="I39" s="84">
        <v>5000</v>
      </c>
      <c r="J39" s="84">
        <v>493869.70455</v>
      </c>
      <c r="K39" s="89">
        <v>379673.00455</v>
      </c>
      <c r="L39" s="84">
        <v>64173.907</v>
      </c>
      <c r="M39" s="84">
        <v>0</v>
      </c>
      <c r="N39" s="85">
        <f t="shared" si="20"/>
        <v>0.0999544347713651</v>
      </c>
      <c r="O39" s="86"/>
      <c r="P39" s="87">
        <f t="shared" si="34"/>
        <v>1</v>
      </c>
      <c r="Q39" s="88">
        <f>O39+P39</f>
        <v>1</v>
      </c>
      <c r="R39" s="90">
        <v>559.2</v>
      </c>
      <c r="S39" s="84">
        <v>497006.83357</v>
      </c>
      <c r="T39" s="89">
        <v>190604.18472</v>
      </c>
      <c r="U39" s="85">
        <f t="shared" si="3"/>
        <v>0.0018250494964674978</v>
      </c>
      <c r="V39" s="86"/>
      <c r="W39" s="87">
        <f t="shared" si="33"/>
        <v>1</v>
      </c>
      <c r="X39" s="88">
        <f t="shared" si="14"/>
        <v>1</v>
      </c>
      <c r="Y39" s="84">
        <f t="shared" si="15"/>
        <v>3137.12902</v>
      </c>
      <c r="Z39" s="91"/>
      <c r="AA39" s="91">
        <v>3137.12902</v>
      </c>
      <c r="AB39" s="91"/>
      <c r="AC39" s="91">
        <f t="shared" si="5"/>
        <v>493869.70455</v>
      </c>
      <c r="AD39" s="91">
        <f t="shared" si="5"/>
        <v>379673.00455</v>
      </c>
      <c r="AE39" s="91">
        <f t="shared" si="5"/>
        <v>64173.907</v>
      </c>
      <c r="AF39" s="91">
        <f t="shared" si="16"/>
        <v>50022.79300000001</v>
      </c>
      <c r="AG39" s="91">
        <f t="shared" si="35"/>
        <v>2501.139650000001</v>
      </c>
      <c r="AH39" s="91">
        <f t="shared" si="24"/>
        <v>5638.268670000001</v>
      </c>
      <c r="AI39" s="92">
        <f t="shared" si="8"/>
        <v>0</v>
      </c>
      <c r="AJ39" s="93"/>
      <c r="AK39" s="94">
        <f>IF(AI39&lt;=0.05,1.5,0)</f>
        <v>1.5</v>
      </c>
      <c r="AL39" s="88">
        <f t="shared" si="9"/>
        <v>1.5</v>
      </c>
      <c r="AM39" s="95">
        <v>16413</v>
      </c>
      <c r="AN39" s="87">
        <v>17572</v>
      </c>
      <c r="AO39" s="96">
        <f t="shared" si="10"/>
        <v>0.9340427953562486</v>
      </c>
      <c r="AP39" s="93"/>
      <c r="AQ39" s="94">
        <f>IF(AO39&lt;=1,1,0)</f>
        <v>1</v>
      </c>
      <c r="AR39" s="97">
        <f>AP39+AQ39</f>
        <v>1</v>
      </c>
      <c r="AS39" s="95">
        <v>34706</v>
      </c>
      <c r="AT39" s="87">
        <v>40219</v>
      </c>
      <c r="AU39" s="92">
        <f t="shared" si="18"/>
        <v>0.8629254829806807</v>
      </c>
      <c r="AV39" s="93"/>
      <c r="AW39" s="94">
        <f>IF(AU39&lt;=1,1,0)</f>
        <v>1</v>
      </c>
      <c r="AX39" s="97">
        <f t="shared" si="11"/>
        <v>1</v>
      </c>
      <c r="AY39" s="98">
        <f t="shared" si="12"/>
        <v>6.5</v>
      </c>
    </row>
    <row r="40" spans="1:51" ht="12.75">
      <c r="A40" s="83" t="s">
        <v>92</v>
      </c>
      <c r="B40" s="84">
        <v>0</v>
      </c>
      <c r="C40" s="84">
        <v>8395.670789999998</v>
      </c>
      <c r="D40" s="84">
        <v>0</v>
      </c>
      <c r="E40" s="85">
        <f t="shared" si="13"/>
        <v>0</v>
      </c>
      <c r="F40" s="86"/>
      <c r="G40" s="87">
        <f>IF(E40&lt;=1.05,1,0)</f>
        <v>1</v>
      </c>
      <c r="H40" s="88">
        <f t="shared" si="0"/>
        <v>1</v>
      </c>
      <c r="I40" s="84">
        <v>0</v>
      </c>
      <c r="J40" s="84">
        <v>587991.8298200001</v>
      </c>
      <c r="K40" s="89">
        <v>406464.82982</v>
      </c>
      <c r="L40" s="84">
        <v>107242.913</v>
      </c>
      <c r="M40" s="84">
        <v>0</v>
      </c>
      <c r="N40" s="85">
        <f t="shared" si="20"/>
        <v>0</v>
      </c>
      <c r="O40" s="86"/>
      <c r="P40" s="87">
        <f>IF(N40&lt;=0.5,1,0)</f>
        <v>1</v>
      </c>
      <c r="Q40" s="88">
        <f t="shared" si="2"/>
        <v>1</v>
      </c>
      <c r="R40" s="90">
        <v>0</v>
      </c>
      <c r="S40" s="84">
        <v>596387.50061</v>
      </c>
      <c r="T40" s="89">
        <v>286992.40449</v>
      </c>
      <c r="U40" s="85">
        <f t="shared" si="3"/>
        <v>0</v>
      </c>
      <c r="V40" s="86"/>
      <c r="W40" s="87">
        <f>IF(U40&lt;=0.15,1,0)</f>
        <v>1</v>
      </c>
      <c r="X40" s="88">
        <f t="shared" si="14"/>
        <v>1</v>
      </c>
      <c r="Y40" s="84">
        <f t="shared" si="15"/>
        <v>8395.670789999998</v>
      </c>
      <c r="Z40" s="91"/>
      <c r="AA40" s="91">
        <v>8395.670789999998</v>
      </c>
      <c r="AB40" s="91"/>
      <c r="AC40" s="91">
        <f t="shared" si="5"/>
        <v>587991.8298200001</v>
      </c>
      <c r="AD40" s="91">
        <f t="shared" si="5"/>
        <v>406464.82982</v>
      </c>
      <c r="AE40" s="91">
        <f t="shared" si="5"/>
        <v>107242.913</v>
      </c>
      <c r="AF40" s="91">
        <f t="shared" si="16"/>
        <v>74284.08700000012</v>
      </c>
      <c r="AG40" s="91">
        <f>AF40*10%</f>
        <v>7428.408700000012</v>
      </c>
      <c r="AH40" s="91">
        <f t="shared" si="24"/>
        <v>15824.079490000011</v>
      </c>
      <c r="AI40" s="92">
        <f t="shared" si="8"/>
        <v>0</v>
      </c>
      <c r="AJ40" s="86"/>
      <c r="AK40" s="94">
        <f>IF(AI40&lt;=0.05,1.5,0)</f>
        <v>1.5</v>
      </c>
      <c r="AL40" s="88">
        <f t="shared" si="9"/>
        <v>1.5</v>
      </c>
      <c r="AM40" s="95">
        <v>17572</v>
      </c>
      <c r="AN40" s="87">
        <v>17572</v>
      </c>
      <c r="AO40" s="96">
        <f t="shared" si="10"/>
        <v>1</v>
      </c>
      <c r="AP40" s="86"/>
      <c r="AQ40" s="94">
        <f>IF(AO40&lt;=1,1,0)</f>
        <v>1</v>
      </c>
      <c r="AR40" s="97">
        <f>AP40+AQ40</f>
        <v>1</v>
      </c>
      <c r="AS40" s="95">
        <v>39881</v>
      </c>
      <c r="AT40" s="87">
        <v>40219</v>
      </c>
      <c r="AU40" s="92">
        <f t="shared" si="18"/>
        <v>0.9915960118352023</v>
      </c>
      <c r="AV40" s="86"/>
      <c r="AW40" s="94">
        <f>IF(AU40&lt;=1,1,0)</f>
        <v>1</v>
      </c>
      <c r="AX40" s="97">
        <f t="shared" si="11"/>
        <v>1</v>
      </c>
      <c r="AY40" s="98">
        <f t="shared" si="12"/>
        <v>6.5</v>
      </c>
    </row>
    <row r="41" spans="1:51" ht="12.75">
      <c r="A41" s="99" t="s">
        <v>93</v>
      </c>
      <c r="B41" s="108">
        <v>22256.5</v>
      </c>
      <c r="C41" s="108">
        <v>928.5</v>
      </c>
      <c r="D41" s="108">
        <v>21356.5</v>
      </c>
      <c r="E41" s="69">
        <f t="shared" si="13"/>
        <v>0.9987211128561813</v>
      </c>
      <c r="F41" s="64">
        <f>IF(E41&lt;=1.05,1,0)</f>
        <v>1</v>
      </c>
      <c r="G41" s="65"/>
      <c r="H41" s="66">
        <f t="shared" si="0"/>
        <v>1</v>
      </c>
      <c r="I41" s="108">
        <v>22256.5</v>
      </c>
      <c r="J41" s="108">
        <v>242304.38541999998</v>
      </c>
      <c r="K41" s="68">
        <v>165638.29341999997</v>
      </c>
      <c r="L41" s="108">
        <v>28312.17</v>
      </c>
      <c r="M41" s="108">
        <v>0</v>
      </c>
      <c r="N41" s="69">
        <f t="shared" si="20"/>
        <v>0.46028324238104196</v>
      </c>
      <c r="O41" s="64">
        <f>IF(N41&lt;=1,1,0)</f>
        <v>1</v>
      </c>
      <c r="P41" s="65"/>
      <c r="Q41" s="66">
        <f t="shared" si="2"/>
        <v>1</v>
      </c>
      <c r="R41" s="109">
        <v>1735.396</v>
      </c>
      <c r="S41" s="108">
        <v>243232.88541999998</v>
      </c>
      <c r="T41" s="68">
        <v>82188.10964</v>
      </c>
      <c r="U41" s="63">
        <f t="shared" si="3"/>
        <v>0.010775860263674058</v>
      </c>
      <c r="V41" s="64">
        <f>IF(U41&lt;=0.15,1,0)</f>
        <v>1</v>
      </c>
      <c r="W41" s="65"/>
      <c r="X41" s="66">
        <f t="shared" si="14"/>
        <v>1</v>
      </c>
      <c r="Y41" s="108">
        <f t="shared" si="15"/>
        <v>928.5</v>
      </c>
      <c r="Z41" s="73"/>
      <c r="AA41" s="73">
        <v>28.5</v>
      </c>
      <c r="AB41" s="73"/>
      <c r="AC41" s="73">
        <f t="shared" si="5"/>
        <v>242304.38541999998</v>
      </c>
      <c r="AD41" s="73">
        <f t="shared" si="5"/>
        <v>165638.29341999997</v>
      </c>
      <c r="AE41" s="73">
        <f t="shared" si="5"/>
        <v>28312.17</v>
      </c>
      <c r="AF41" s="73">
        <f t="shared" si="16"/>
        <v>48353.922000000006</v>
      </c>
      <c r="AG41" s="73">
        <f>AF41*10%</f>
        <v>4835.392200000001</v>
      </c>
      <c r="AH41" s="73">
        <f t="shared" si="24"/>
        <v>4863.892200000001</v>
      </c>
      <c r="AI41" s="110">
        <f t="shared" si="8"/>
        <v>0.018612761132385493</v>
      </c>
      <c r="AJ41" s="75">
        <f>IF(AI41&lt;=0.1,1.5,0)</f>
        <v>1.5</v>
      </c>
      <c r="AK41" s="65"/>
      <c r="AL41" s="66">
        <f t="shared" si="9"/>
        <v>1.5</v>
      </c>
      <c r="AM41" s="111">
        <v>8378</v>
      </c>
      <c r="AN41" s="65">
        <v>9458</v>
      </c>
      <c r="AO41" s="79">
        <f t="shared" si="10"/>
        <v>0.8858109536899978</v>
      </c>
      <c r="AP41" s="80">
        <f>IF(AO41&lt;=1,1,0)</f>
        <v>1</v>
      </c>
      <c r="AQ41" s="65"/>
      <c r="AR41" s="81">
        <f t="shared" si="17"/>
        <v>1</v>
      </c>
      <c r="AS41" s="111">
        <v>21139</v>
      </c>
      <c r="AT41" s="65">
        <v>22910</v>
      </c>
      <c r="AU41" s="74">
        <f t="shared" si="18"/>
        <v>0.9226975120034919</v>
      </c>
      <c r="AV41" s="80">
        <f>IF(AU41&lt;=1,1,0)</f>
        <v>1</v>
      </c>
      <c r="AW41" s="65"/>
      <c r="AX41" s="81">
        <f t="shared" si="11"/>
        <v>1</v>
      </c>
      <c r="AY41" s="112">
        <f t="shared" si="12"/>
        <v>6.5</v>
      </c>
    </row>
    <row r="42" spans="1:51" ht="13.5" thickBot="1">
      <c r="A42" s="99" t="s">
        <v>94</v>
      </c>
      <c r="B42" s="108">
        <v>32472.775</v>
      </c>
      <c r="C42" s="108">
        <v>4127.7247</v>
      </c>
      <c r="D42" s="108">
        <v>28963.59</v>
      </c>
      <c r="E42" s="63">
        <f t="shared" si="13"/>
        <v>0.9813080953232722</v>
      </c>
      <c r="F42" s="64">
        <f>IF(E42&lt;=1.05,1,0)</f>
        <v>1</v>
      </c>
      <c r="G42" s="65"/>
      <c r="H42" s="66">
        <f t="shared" si="0"/>
        <v>1</v>
      </c>
      <c r="I42" s="108">
        <v>32472.8</v>
      </c>
      <c r="J42" s="108">
        <v>318583.78375999996</v>
      </c>
      <c r="K42" s="68">
        <v>204842.19676</v>
      </c>
      <c r="L42" s="108">
        <v>32086.865</v>
      </c>
      <c r="M42" s="108">
        <v>0</v>
      </c>
      <c r="N42" s="63">
        <f>(I42-M42)/(J42-K42-L42)</f>
        <v>0.39768428823993807</v>
      </c>
      <c r="O42" s="64">
        <f>IF(N42&lt;=1,1,0)</f>
        <v>1</v>
      </c>
      <c r="P42" s="65"/>
      <c r="Q42" s="66">
        <f t="shared" si="2"/>
        <v>1</v>
      </c>
      <c r="R42" s="113">
        <v>2290.452</v>
      </c>
      <c r="S42" s="108">
        <v>322711.50846</v>
      </c>
      <c r="T42" s="68">
        <v>133359.65118000002</v>
      </c>
      <c r="U42" s="63">
        <f t="shared" si="3"/>
        <v>0.012096274274263092</v>
      </c>
      <c r="V42" s="64">
        <f>IF(U42&lt;=0.15,1,0)</f>
        <v>1</v>
      </c>
      <c r="W42" s="65"/>
      <c r="X42" s="66">
        <f t="shared" si="14"/>
        <v>1</v>
      </c>
      <c r="Y42" s="108">
        <f t="shared" si="15"/>
        <v>4127.7247</v>
      </c>
      <c r="Z42" s="73"/>
      <c r="AA42" s="73">
        <v>618.5396999999999</v>
      </c>
      <c r="AB42" s="73"/>
      <c r="AC42" s="73">
        <f t="shared" si="5"/>
        <v>318583.78375999996</v>
      </c>
      <c r="AD42" s="73">
        <f t="shared" si="5"/>
        <v>204842.19676</v>
      </c>
      <c r="AE42" s="73">
        <f t="shared" si="5"/>
        <v>32086.865</v>
      </c>
      <c r="AF42" s="73">
        <f t="shared" si="16"/>
        <v>81654.72199999997</v>
      </c>
      <c r="AG42" s="73">
        <f>AF42*10%</f>
        <v>8165.4721999999965</v>
      </c>
      <c r="AH42" s="73">
        <f t="shared" si="24"/>
        <v>8784.011899999996</v>
      </c>
      <c r="AI42" s="104">
        <f t="shared" si="8"/>
        <v>0.04297589795235604</v>
      </c>
      <c r="AJ42" s="75">
        <f>IF(AI42&lt;=0.1,1.5,0)</f>
        <v>1.5</v>
      </c>
      <c r="AK42" s="65"/>
      <c r="AL42" s="66">
        <f t="shared" si="9"/>
        <v>1.5</v>
      </c>
      <c r="AM42" s="111">
        <v>7418</v>
      </c>
      <c r="AN42" s="65">
        <v>9089</v>
      </c>
      <c r="AO42" s="79">
        <f t="shared" si="10"/>
        <v>0.8161513917922764</v>
      </c>
      <c r="AP42" s="80">
        <f>IF(AO42&lt;=1,1,0)</f>
        <v>1</v>
      </c>
      <c r="AQ42" s="65"/>
      <c r="AR42" s="81">
        <f t="shared" si="17"/>
        <v>1</v>
      </c>
      <c r="AS42" s="111">
        <v>20412</v>
      </c>
      <c r="AT42" s="65">
        <v>21894</v>
      </c>
      <c r="AU42" s="74">
        <f t="shared" si="18"/>
        <v>0.9323102219786242</v>
      </c>
      <c r="AV42" s="80">
        <f>IF(AU42&lt;=1,1,0)</f>
        <v>1</v>
      </c>
      <c r="AW42" s="65"/>
      <c r="AX42" s="81">
        <f t="shared" si="11"/>
        <v>1</v>
      </c>
      <c r="AY42" s="102">
        <f t="shared" si="12"/>
        <v>6.5</v>
      </c>
    </row>
    <row r="43" spans="1:51" ht="14.25" thickBot="1" thickTop="1">
      <c r="A43" s="114" t="s">
        <v>95</v>
      </c>
      <c r="B43" s="115">
        <f>SUM(B10:B42)</f>
        <v>2278515.595</v>
      </c>
      <c r="C43" s="115">
        <f>SUM(C10:C42)</f>
        <v>624076.45684</v>
      </c>
      <c r="D43" s="115">
        <f>SUM(D10:D42)</f>
        <v>2299111.44</v>
      </c>
      <c r="E43" s="116"/>
      <c r="F43" s="116"/>
      <c r="G43" s="116"/>
      <c r="H43" s="117"/>
      <c r="I43" s="118">
        <f>SUM(I10:I42)</f>
        <v>2556626.56</v>
      </c>
      <c r="J43" s="118">
        <f>SUM(J10:J42)</f>
        <v>21812647.799050003</v>
      </c>
      <c r="K43" s="119">
        <f>SUM(K10:K42)</f>
        <v>15132419.629680004</v>
      </c>
      <c r="L43" s="120">
        <f>SUM(L10:L42)</f>
        <v>2079580.5219999999</v>
      </c>
      <c r="M43" s="116">
        <f>SUM(M10:M42)</f>
        <v>0</v>
      </c>
      <c r="N43" s="116"/>
      <c r="O43" s="116"/>
      <c r="P43" s="116"/>
      <c r="Q43" s="117"/>
      <c r="R43" s="121">
        <f>SUM(R10:R42)</f>
        <v>239625.79324</v>
      </c>
      <c r="S43" s="122">
        <f>SUM(S10:S42)</f>
        <v>22436724.25589</v>
      </c>
      <c r="T43" s="122">
        <f>SUM(T10:T42)</f>
        <v>8586896.68174</v>
      </c>
      <c r="U43" s="116"/>
      <c r="V43" s="116"/>
      <c r="W43" s="116"/>
      <c r="X43" s="117"/>
      <c r="Y43" s="123">
        <f aca="true" t="shared" si="36" ref="Y43:AE43">SUM(Y10:Y42)</f>
        <v>624076.45684</v>
      </c>
      <c r="Z43" s="124">
        <f t="shared" si="36"/>
        <v>22323.2</v>
      </c>
      <c r="AA43" s="124">
        <f t="shared" si="36"/>
        <v>622349.1018399999</v>
      </c>
      <c r="AB43" s="124">
        <f t="shared" si="36"/>
        <v>0</v>
      </c>
      <c r="AC43" s="124">
        <f t="shared" si="36"/>
        <v>21812647.799050003</v>
      </c>
      <c r="AD43" s="124">
        <f t="shared" si="36"/>
        <v>15132419.629680004</v>
      </c>
      <c r="AE43" s="124">
        <f t="shared" si="36"/>
        <v>2079580.5219999999</v>
      </c>
      <c r="AF43" s="123"/>
      <c r="AG43" s="123"/>
      <c r="AH43" s="123"/>
      <c r="AI43" s="116"/>
      <c r="AJ43" s="116"/>
      <c r="AK43" s="116"/>
      <c r="AL43" s="116"/>
      <c r="AM43" s="124">
        <f>SUM(AM10:AM42)</f>
        <v>641683</v>
      </c>
      <c r="AN43" s="124">
        <f>SUM(AN10:AN42)</f>
        <v>693599</v>
      </c>
      <c r="AO43" s="116"/>
      <c r="AP43" s="116"/>
      <c r="AQ43" s="116"/>
      <c r="AR43" s="116"/>
      <c r="AS43" s="124">
        <f>SUM(AS10:AS42)</f>
        <v>1442293</v>
      </c>
      <c r="AT43" s="124">
        <f>SUM(AT10:AT42)</f>
        <v>1524526</v>
      </c>
      <c r="AU43" s="116"/>
      <c r="AV43" s="116"/>
      <c r="AW43" s="116"/>
      <c r="AX43" s="116"/>
      <c r="AY43" s="125"/>
    </row>
    <row r="44" ht="13.5" thickTop="1"/>
  </sheetData>
  <sheetProtection/>
  <mergeCells count="14">
    <mergeCell ref="AM4:AR4"/>
    <mergeCell ref="AS4:AX4"/>
    <mergeCell ref="B5:D5"/>
    <mergeCell ref="I5:K5"/>
    <mergeCell ref="R5:T5"/>
    <mergeCell ref="Y5:AA5"/>
    <mergeCell ref="AM5:AN5"/>
    <mergeCell ref="AS5:AT5"/>
    <mergeCell ref="B1:H3"/>
    <mergeCell ref="A4:A7"/>
    <mergeCell ref="B4:H4"/>
    <mergeCell ref="I4:Q4"/>
    <mergeCell ref="R4:X4"/>
    <mergeCell ref="Y4:AL4"/>
  </mergeCells>
  <printOptions/>
  <pageMargins left="0.1968503937007874" right="0.1968503937007874" top="0.35433070866141736" bottom="0.2755905511811024" header="0.31496062992125984" footer="0.31496062992125984"/>
  <pageSetup fitToWidth="0" fitToHeight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Бурштейн</cp:lastModifiedBy>
  <dcterms:created xsi:type="dcterms:W3CDTF">2018-07-20T06:20:12Z</dcterms:created>
  <dcterms:modified xsi:type="dcterms:W3CDTF">2018-07-20T06:28:36Z</dcterms:modified>
  <cp:category/>
  <cp:version/>
  <cp:contentType/>
  <cp:contentStatus/>
</cp:coreProperties>
</file>