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570" windowWidth="18900" windowHeight="10395" tabRatio="772" activeTab="0"/>
  </bookViews>
  <sheets>
    <sheet name="за 1 кв." sheetId="1" r:id="rId1"/>
  </sheets>
  <definedNames>
    <definedName name="_xlfn.BAHTTEXT" hidden="1">#NAME?</definedName>
    <definedName name="_xlnm.Print_Titles" localSheetId="0">'за 1 кв.'!$A:$A</definedName>
    <definedName name="_xlnm.Print_Area" localSheetId="0">'за 1 кв.'!$A$1:$AY$43</definedName>
  </definedNames>
  <calcPr fullCalcOnLoad="1"/>
</workbook>
</file>

<file path=xl/sharedStrings.xml><?xml version="1.0" encoding="utf-8"?>
<sst xmlns="http://schemas.openxmlformats.org/spreadsheetml/2006/main" count="136" uniqueCount="96">
  <si>
    <t xml:space="preserve">1. г.Брянск </t>
  </si>
  <si>
    <t>2. Дятьковский р-н</t>
  </si>
  <si>
    <t>3. г.Клинцы</t>
  </si>
  <si>
    <t>4. г.Новозыбков</t>
  </si>
  <si>
    <t>5. г.Сельцо</t>
  </si>
  <si>
    <t>6. Брасовский р-н</t>
  </si>
  <si>
    <t>7. Брянский р-н</t>
  </si>
  <si>
    <t>8. Выгоничский р-н</t>
  </si>
  <si>
    <t>9. Гордеевский р-н</t>
  </si>
  <si>
    <t>10. Дубровский р-н</t>
  </si>
  <si>
    <t>11. Жирятинский р-н</t>
  </si>
  <si>
    <t>12. Жуковский р-н</t>
  </si>
  <si>
    <t>13. Злынковский р-н</t>
  </si>
  <si>
    <t>14. Карачевский р-н</t>
  </si>
  <si>
    <t>15. Клетнянский р-н</t>
  </si>
  <si>
    <t>16. Климовский р-н</t>
  </si>
  <si>
    <t>17. Клинцовский р-н</t>
  </si>
  <si>
    <t>18. Комаричский р-н</t>
  </si>
  <si>
    <t>19. Красногорский р-н</t>
  </si>
  <si>
    <t>20. Мглинский р-н</t>
  </si>
  <si>
    <t>21. Навлинский р-н</t>
  </si>
  <si>
    <t>22. Новозыбковский р-н</t>
  </si>
  <si>
    <t>23. Погарский р-н</t>
  </si>
  <si>
    <t>24. Почепский р-н</t>
  </si>
  <si>
    <t>25. Рогнединский р-н</t>
  </si>
  <si>
    <t>26. Севский р-н</t>
  </si>
  <si>
    <t>27. Стародубский р-н</t>
  </si>
  <si>
    <t>28. Суземский р-н</t>
  </si>
  <si>
    <t>29. Суражский р-н</t>
  </si>
  <si>
    <t>30. Трубчевский р-н</t>
  </si>
  <si>
    <t>31. Унечский р-н</t>
  </si>
  <si>
    <t>34. г.Фокино</t>
  </si>
  <si>
    <t>36. г.Стародуб</t>
  </si>
  <si>
    <t>ИТОГО</t>
  </si>
  <si>
    <t>Аi</t>
  </si>
  <si>
    <t>Бi</t>
  </si>
  <si>
    <t>Вi</t>
  </si>
  <si>
    <t>Нормативное значение</t>
  </si>
  <si>
    <t>Удельный вес индикатора</t>
  </si>
  <si>
    <t>≤0,05</t>
  </si>
  <si>
    <t>тыс.руб.</t>
  </si>
  <si>
    <t>P1</t>
  </si>
  <si>
    <t>P2</t>
  </si>
  <si>
    <t>P3</t>
  </si>
  <si>
    <t>P4</t>
  </si>
  <si>
    <t>P5</t>
  </si>
  <si>
    <r>
      <t xml:space="preserve">Объем заимствований муниципального образования в </t>
    </r>
    <r>
      <rPr>
        <b/>
        <sz val="10"/>
        <color indexed="10"/>
        <rFont val="Times New Roman"/>
        <family val="1"/>
      </rPr>
      <t xml:space="preserve">текущем </t>
    </r>
    <r>
      <rPr>
        <sz val="10"/>
        <rFont val="Times New Roman"/>
        <family val="1"/>
      </rPr>
      <t>финансовом году</t>
    </r>
  </si>
  <si>
    <t>Сумма, направленная в текущем финансовом году на финансирование дефицита местного бюджета</t>
  </si>
  <si>
    <t>Сумма, направленная в текущем финансовом году на погашение долговых обязательств бюджета муниципального образования</t>
  </si>
  <si>
    <t>Отношение объема заимствований муниципального образования в текущем финансовом году к сумме, направляемой в текущем финансовом году на финансирование дефицита местного бюджета и (или) погашение долговых обязательств муниципального образования (ст. 106 БК РФ)</t>
  </si>
  <si>
    <t>Нормативное значение для муниципального образования, в отношении которого осуществляются меры, предусмотренные п.4 ст.136 БК РФ</t>
  </si>
  <si>
    <t>Объем муниципального долга</t>
  </si>
  <si>
    <t>Общий годовой объем доходов местного бюджета</t>
  </si>
  <si>
    <t>Объем безвозмездных поступлений</t>
  </si>
  <si>
    <t>Объем поступлений по дополнительным нормативам</t>
  </si>
  <si>
    <t>Отношение объема муниципального долга к общему годовому объему доходов местного бюджета без учета объема безвозмездных поступлений и поступлений налоговых доходов по дополнительным нормативам (ст. 107 БК РФ)</t>
  </si>
  <si>
    <t>Объем расходов местного бюджета на обслуживание муниципального долга</t>
  </si>
  <si>
    <t>Объем расходов местного бюджета</t>
  </si>
  <si>
    <t>Объем расходов, которые осуществляются за счет субвенций, предоставляемых из областного бюджета</t>
  </si>
  <si>
    <t>Отношение объема расходов на обслуживание муниципального долга к объему расходов местного бюджета, за исключением объема расходов, которые осуществляются за счет субвенций, предоставляемых из областного бюджета (ст. 111 БК РФ)</t>
  </si>
  <si>
    <t>Размер дефицита местного бюджета</t>
  </si>
  <si>
    <t xml:space="preserve">Объем поступлений от продажи акций и иных форм участия в капитале, находящихся в собственности муниципального
образования
</t>
  </si>
  <si>
    <t>Величина снижения остатков средств на счетах по учету средств местного бюджета</t>
  </si>
  <si>
    <t>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</t>
  </si>
  <si>
    <t>Объем доходов местного бюджета</t>
  </si>
  <si>
    <t>объем налоговых поступлений по дополнительным нормативам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</si>
  <si>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утвержденный в местном бюджете на текущий финансовый год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</si>
  <si>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исчисленный по утвержденному нормативу формирования данных расходов.</t>
  </si>
  <si>
    <t>Отношение утвержденного в местном бюджете годового объема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к расходам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исчисленным к установленному нормативу формирования данных расходов (ст. 136 БК РФ)</t>
  </si>
  <si>
    <t>Итоговое значение</t>
  </si>
  <si>
    <t>≤1,0</t>
  </si>
  <si>
    <t>Гi</t>
  </si>
  <si>
    <t>Р2 = Аi / (Бi - Вi - Гi)</t>
  </si>
  <si>
    <t>≤0,5</t>
  </si>
  <si>
    <t>Р3 = Аi / (Бi - Вi)</t>
  </si>
  <si>
    <t>≤0,15</t>
  </si>
  <si>
    <t>Кi</t>
  </si>
  <si>
    <t>Дi</t>
  </si>
  <si>
    <t>Иi</t>
  </si>
  <si>
    <t>Р4 =  (Ai - Бi – Bi – Кi)/
(Гi -Дi - Иi), при Бi &gt; 0 и Bi &gt; 0, и Кi  &gt; 0
иначе Р4 = Ai/(Гi - Дi - Иi)</t>
  </si>
  <si>
    <t>≤0,10</t>
  </si>
  <si>
    <t>Р5 = Ai/Бi</t>
  </si>
  <si>
    <t>если -, то 0</t>
  </si>
  <si>
    <t>Доходы без безвозмездных и доп нормативов</t>
  </si>
  <si>
    <t>5% или 10% от собственных доходов</t>
  </si>
  <si>
    <r>
      <t>Объем безвозмездных поступлений (</t>
    </r>
    <r>
      <rPr>
        <sz val="10"/>
        <color indexed="30"/>
        <rFont val="Times New Roman"/>
        <family val="1"/>
      </rPr>
      <t>КБК 0002000000...</t>
    </r>
    <r>
      <rPr>
        <sz val="10"/>
        <rFont val="Times New Roman"/>
        <family val="1"/>
      </rPr>
      <t>)</t>
    </r>
  </si>
  <si>
    <t>Р1 = Аi / (Бi + Вi),                                    если Бi &lt; 0, то Р1 = Аi / Вi</t>
  </si>
  <si>
    <t>5% или 10% от собственных доходов + остатки (отрицательную разницу по бюджетным кредитам не берем, т.к. она не увеличивает, а снижает сумму допустимого дефицита)</t>
  </si>
  <si>
    <t>Отношение дефицита местного бюджета (с учетом допустимых превышений) к общему годовому объему доходов местного бюджета без учета объема безвозмездных поступлений и (или) поступлений налоговых доходов по дополнительным нормативам (ст. 92.1 БК РФ)</t>
  </si>
  <si>
    <t>план</t>
  </si>
  <si>
    <t>Задолженность по бюджетным кредитам</t>
  </si>
  <si>
    <t>P5.2</t>
  </si>
  <si>
    <t>Объем расходов на содержание органов местного самоуправления, утвержденный в местном бюджете на текущий финансовый год</t>
  </si>
  <si>
    <t>Отношение утвержденного в местном бюджете годового объема расходов на содержание органов местного самоуправления, к расходам на содержание органов местного самоуправления по утвержденному нормативу (ст. 136 БК РФ)</t>
  </si>
  <si>
    <t xml:space="preserve">Объем расходов на содержание органов местного самоуправления по утвержденному нормативу </t>
  </si>
  <si>
    <t>Перечень индикаторов на соответствие плановых показателей местных бюджетов требованиям Бюджетного кодекса Российской Федерации по состоянию на 01.04.2017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</si>
</sst>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_-* #,##0.0_р_._-;\-* #,##0.0_р_._-;_-* &quot;-&quot;??_р_._-;_-@_-"/>
    <numFmt numFmtId="167" formatCode="#,##0_ ;[Red]\-#,##0\ 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_ ;[Red]\-0\ "/>
    <numFmt numFmtId="175" formatCode="0.0_ ;[Red]\-0.0\ "/>
    <numFmt numFmtId="176" formatCode="#,##0.0_ ;[Red]\-#,##0.0\ "/>
    <numFmt numFmtId="177" formatCode="#,##0.00_ ;[Red]\-#,##0.00\ "/>
    <numFmt numFmtId="178" formatCode="0.00_ ;[Red]\-0.00\ "/>
    <numFmt numFmtId="179" formatCode="_-* #,##0.0_р_._-;\-* #,##0.0_р_._-;_-* &quot;-&quot;?_р_._-;_-@_-"/>
    <numFmt numFmtId="180" formatCode="#,##0.00_ ;\-#,##0.00\ "/>
    <numFmt numFmtId="181" formatCode="#,##0.000_ ;\-#,##0.000\ "/>
    <numFmt numFmtId="182" formatCode="#,##0.0_ ;\-#,##0.0\ "/>
    <numFmt numFmtId="183" formatCode="#,##0_ ;\-#,##0\ "/>
    <numFmt numFmtId="184" formatCode="#,##0.000_ ;[Red]\-#,##0.000\ "/>
    <numFmt numFmtId="185" formatCode="#,##0.00000"/>
    <numFmt numFmtId="186" formatCode="#,##0.0000"/>
    <numFmt numFmtId="187" formatCode="#,##0.000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0_ ;[Red]\-#,##0.0000\ "/>
    <numFmt numFmtId="194" formatCode="#,##0.00000_ ;[Red]\-#,##0.00000\ "/>
    <numFmt numFmtId="195" formatCode="#,##0.000000_ ;[Red]\-#,##0.000000\ "/>
    <numFmt numFmtId="196" formatCode="#,##0.0000000_ ;[Red]\-#,##0.0000000\ "/>
    <numFmt numFmtId="197" formatCode="#,##0.00000000_ ;[Red]\-#,##0.00000000\ "/>
    <numFmt numFmtId="198" formatCode="#,##0.000000000_ ;[Red]\-#,##0.000000000\ "/>
    <numFmt numFmtId="199" formatCode="#,##0.0000_ ;\-#,##0.0000\ "/>
    <numFmt numFmtId="200" formatCode="0.0%"/>
    <numFmt numFmtId="201" formatCode="_-* #,##0.000_р_._-;\-* #,##0.000_р_._-;_-* &quot;-&quot;??_р_._-;_-@_-"/>
    <numFmt numFmtId="202" formatCode="_-* #,##0.0000_р_._-;\-* #,##0.0000_р_._-;_-* &quot;-&quot;??_р_._-;_-@_-"/>
  </numFmts>
  <fonts count="3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i/>
      <u val="single"/>
      <sz val="11"/>
      <name val="Times New Roman"/>
      <family val="1"/>
    </font>
    <font>
      <sz val="10"/>
      <color indexed="30"/>
      <name val="Times New Roman"/>
      <family val="1"/>
    </font>
    <font>
      <b/>
      <sz val="1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9CCFF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double"/>
      <right style="thick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double"/>
      <top style="double"/>
      <bottom style="double"/>
    </border>
    <border>
      <left style="thick"/>
      <right style="thin"/>
      <top>
        <color indexed="63"/>
      </top>
      <bottom style="thin"/>
    </border>
    <border>
      <left style="thick"/>
      <right style="thin"/>
      <top style="double"/>
      <bottom style="double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medium"/>
      <right style="medium"/>
      <top style="double"/>
      <bottom style="medium"/>
    </border>
    <border>
      <left style="thick"/>
      <right style="thin"/>
      <top style="double"/>
      <bottom style="thin"/>
    </border>
    <border>
      <left style="thick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ck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10" fillId="0" borderId="0">
      <alignment/>
      <protection/>
    </xf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164" fontId="1" fillId="0" borderId="13" xfId="62" applyNumberFormat="1" applyFont="1" applyBorder="1" applyAlignment="1">
      <alignment/>
    </xf>
    <xf numFmtId="164" fontId="1" fillId="0" borderId="10" xfId="62" applyNumberFormat="1" applyFont="1" applyBorder="1" applyAlignment="1">
      <alignment/>
    </xf>
    <xf numFmtId="164" fontId="3" fillId="23" borderId="14" xfId="62" applyNumberFormat="1" applyFont="1" applyFill="1" applyBorder="1" applyAlignment="1">
      <alignment horizontal="center"/>
    </xf>
    <xf numFmtId="0" fontId="5" fillId="23" borderId="12" xfId="0" applyFont="1" applyFill="1" applyBorder="1" applyAlignment="1">
      <alignment horizontal="center"/>
    </xf>
    <xf numFmtId="0" fontId="3" fillId="3" borderId="15" xfId="0" applyFont="1" applyFill="1" applyBorder="1" applyAlignment="1">
      <alignment/>
    </xf>
    <xf numFmtId="0" fontId="3" fillId="3" borderId="16" xfId="0" applyFont="1" applyFill="1" applyBorder="1" applyAlignment="1">
      <alignment/>
    </xf>
    <xf numFmtId="0" fontId="5" fillId="23" borderId="17" xfId="0" applyFont="1" applyFill="1" applyBorder="1" applyAlignment="1">
      <alignment horizontal="center"/>
    </xf>
    <xf numFmtId="164" fontId="3" fillId="23" borderId="18" xfId="62" applyNumberFormat="1" applyFont="1" applyFill="1" applyBorder="1" applyAlignment="1">
      <alignment horizontal="center"/>
    </xf>
    <xf numFmtId="0" fontId="3" fillId="3" borderId="19" xfId="0" applyFont="1" applyFill="1" applyBorder="1" applyAlignment="1">
      <alignment/>
    </xf>
    <xf numFmtId="0" fontId="3" fillId="20" borderId="2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5" fillId="23" borderId="21" xfId="0" applyFont="1" applyFill="1" applyBorder="1" applyAlignment="1">
      <alignment horizontal="center"/>
    </xf>
    <xf numFmtId="164" fontId="3" fillId="23" borderId="23" xfId="62" applyNumberFormat="1" applyFont="1" applyFill="1" applyBorder="1" applyAlignment="1">
      <alignment horizontal="center"/>
    </xf>
    <xf numFmtId="0" fontId="1" fillId="2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5" fillId="23" borderId="26" xfId="0" applyFont="1" applyFill="1" applyBorder="1" applyAlignment="1">
      <alignment horizontal="center"/>
    </xf>
    <xf numFmtId="164" fontId="1" fillId="0" borderId="27" xfId="62" applyNumberFormat="1" applyFont="1" applyBorder="1" applyAlignment="1">
      <alignment/>
    </xf>
    <xf numFmtId="164" fontId="3" fillId="23" borderId="28" xfId="62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22" borderId="12" xfId="0" applyFont="1" applyFill="1" applyBorder="1" applyAlignment="1">
      <alignment horizontal="center" vertical="center" wrapText="1"/>
    </xf>
    <xf numFmtId="166" fontId="3" fillId="0" borderId="29" xfId="62" applyNumberFormat="1" applyFont="1" applyBorder="1" applyAlignment="1">
      <alignment/>
    </xf>
    <xf numFmtId="166" fontId="3" fillId="23" borderId="28" xfId="62" applyNumberFormat="1" applyFont="1" applyFill="1" applyBorder="1" applyAlignment="1">
      <alignment horizontal="center"/>
    </xf>
    <xf numFmtId="166" fontId="1" fillId="0" borderId="13" xfId="62" applyNumberFormat="1" applyFont="1" applyBorder="1" applyAlignment="1">
      <alignment/>
    </xf>
    <xf numFmtId="166" fontId="1" fillId="0" borderId="13" xfId="62" applyNumberFormat="1" applyFont="1" applyFill="1" applyBorder="1" applyAlignment="1">
      <alignment/>
    </xf>
    <xf numFmtId="176" fontId="1" fillId="0" borderId="27" xfId="62" applyNumberFormat="1" applyFont="1" applyFill="1" applyBorder="1" applyAlignment="1">
      <alignment/>
    </xf>
    <xf numFmtId="176" fontId="1" fillId="0" borderId="10" xfId="62" applyNumberFormat="1" applyFont="1" applyFill="1" applyBorder="1" applyAlignment="1">
      <alignment/>
    </xf>
    <xf numFmtId="164" fontId="1" fillId="0" borderId="13" xfId="62" applyNumberFormat="1" applyFont="1" applyFill="1" applyBorder="1" applyAlignment="1">
      <alignment/>
    </xf>
    <xf numFmtId="176" fontId="1" fillId="0" borderId="30" xfId="62" applyNumberFormat="1" applyFont="1" applyFill="1" applyBorder="1" applyAlignment="1">
      <alignment/>
    </xf>
    <xf numFmtId="0" fontId="3" fillId="20" borderId="31" xfId="0" applyFont="1" applyFill="1" applyBorder="1" applyAlignment="1">
      <alignment horizontal="center" vertical="center" wrapText="1"/>
    </xf>
    <xf numFmtId="0" fontId="0" fillId="4" borderId="32" xfId="0" applyFill="1" applyBorder="1" applyAlignment="1">
      <alignment/>
    </xf>
    <xf numFmtId="0" fontId="3" fillId="3" borderId="33" xfId="0" applyFont="1" applyFill="1" applyBorder="1" applyAlignment="1">
      <alignment/>
    </xf>
    <xf numFmtId="0" fontId="0" fillId="4" borderId="34" xfId="0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24" borderId="3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6" fontId="0" fillId="0" borderId="0" xfId="0" applyNumberFormat="1" applyBorder="1" applyAlignment="1">
      <alignment/>
    </xf>
    <xf numFmtId="0" fontId="0" fillId="0" borderId="31" xfId="0" applyBorder="1" applyAlignment="1">
      <alignment/>
    </xf>
    <xf numFmtId="0" fontId="5" fillId="23" borderId="36" xfId="0" applyFont="1" applyFill="1" applyBorder="1" applyAlignment="1">
      <alignment horizontal="center"/>
    </xf>
    <xf numFmtId="0" fontId="3" fillId="23" borderId="12" xfId="0" applyFont="1" applyFill="1" applyBorder="1" applyAlignment="1">
      <alignment horizontal="center"/>
    </xf>
    <xf numFmtId="0" fontId="5" fillId="23" borderId="35" xfId="0" applyFont="1" applyFill="1" applyBorder="1" applyAlignment="1">
      <alignment horizontal="center"/>
    </xf>
    <xf numFmtId="0" fontId="1" fillId="0" borderId="37" xfId="0" applyFont="1" applyBorder="1" applyAlignment="1">
      <alignment/>
    </xf>
    <xf numFmtId="177" fontId="3" fillId="0" borderId="30" xfId="62" applyNumberFormat="1" applyFont="1" applyBorder="1" applyAlignment="1">
      <alignment/>
    </xf>
    <xf numFmtId="188" fontId="1" fillId="0" borderId="13" xfId="62" applyNumberFormat="1" applyFont="1" applyFill="1" applyBorder="1" applyAlignment="1">
      <alignment/>
    </xf>
    <xf numFmtId="176" fontId="1" fillId="0" borderId="10" xfId="62" applyNumberFormat="1" applyFont="1" applyBorder="1" applyAlignment="1">
      <alignment/>
    </xf>
    <xf numFmtId="164" fontId="1" fillId="0" borderId="10" xfId="62" applyNumberFormat="1" applyFont="1" applyFill="1" applyBorder="1" applyAlignment="1">
      <alignment/>
    </xf>
    <xf numFmtId="166" fontId="3" fillId="0" borderId="29" xfId="62" applyNumberFormat="1" applyFont="1" applyFill="1" applyBorder="1" applyAlignment="1">
      <alignment/>
    </xf>
    <xf numFmtId="164" fontId="1" fillId="0" borderId="27" xfId="62" applyNumberFormat="1" applyFont="1" applyFill="1" applyBorder="1" applyAlignment="1">
      <alignment/>
    </xf>
    <xf numFmtId="175" fontId="3" fillId="0" borderId="10" xfId="62" applyNumberFormat="1" applyFont="1" applyBorder="1" applyAlignment="1">
      <alignment/>
    </xf>
    <xf numFmtId="166" fontId="3" fillId="0" borderId="38" xfId="62" applyNumberFormat="1" applyFont="1" applyBorder="1" applyAlignment="1">
      <alignment/>
    </xf>
    <xf numFmtId="0" fontId="1" fillId="0" borderId="39" xfId="0" applyFont="1" applyFill="1" applyBorder="1" applyAlignment="1">
      <alignment/>
    </xf>
    <xf numFmtId="177" fontId="3" fillId="0" borderId="30" xfId="62" applyNumberFormat="1" applyFont="1" applyFill="1" applyBorder="1" applyAlignment="1">
      <alignment/>
    </xf>
    <xf numFmtId="0" fontId="1" fillId="0" borderId="39" xfId="0" applyFont="1" applyBorder="1" applyAlignment="1">
      <alignment/>
    </xf>
    <xf numFmtId="176" fontId="1" fillId="0" borderId="30" xfId="62" applyNumberFormat="1" applyFont="1" applyBorder="1" applyAlignment="1">
      <alignment/>
    </xf>
    <xf numFmtId="176" fontId="1" fillId="0" borderId="27" xfId="62" applyNumberFormat="1" applyFont="1" applyBorder="1" applyAlignment="1">
      <alignment/>
    </xf>
    <xf numFmtId="0" fontId="3" fillId="23" borderId="40" xfId="0" applyFont="1" applyFill="1" applyBorder="1" applyAlignment="1" applyProtection="1">
      <alignment/>
      <protection/>
    </xf>
    <xf numFmtId="164" fontId="3" fillId="23" borderId="41" xfId="62" applyNumberFormat="1" applyFont="1" applyFill="1" applyBorder="1" applyAlignment="1">
      <alignment horizontal="center"/>
    </xf>
    <xf numFmtId="164" fontId="3" fillId="23" borderId="42" xfId="62" applyNumberFormat="1" applyFont="1" applyFill="1" applyBorder="1" applyAlignment="1">
      <alignment horizontal="center"/>
    </xf>
    <xf numFmtId="166" fontId="3" fillId="25" borderId="38" xfId="62" applyNumberFormat="1" applyFont="1" applyFill="1" applyBorder="1" applyAlignment="1">
      <alignment/>
    </xf>
    <xf numFmtId="176" fontId="1" fillId="25" borderId="30" xfId="62" applyNumberFormat="1" applyFont="1" applyFill="1" applyBorder="1" applyAlignment="1">
      <alignment/>
    </xf>
    <xf numFmtId="0" fontId="29" fillId="24" borderId="11" xfId="0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1" fillId="25" borderId="0" xfId="0" applyFont="1" applyFill="1" applyAlignment="1">
      <alignment/>
    </xf>
    <xf numFmtId="0" fontId="1" fillId="0" borderId="0" xfId="0" applyFont="1" applyFill="1" applyAlignment="1">
      <alignment/>
    </xf>
    <xf numFmtId="177" fontId="1" fillId="0" borderId="30" xfId="62" applyNumberFormat="1" applyFont="1" applyFill="1" applyBorder="1" applyAlignment="1">
      <alignment/>
    </xf>
    <xf numFmtId="177" fontId="1" fillId="0" borderId="30" xfId="62" applyNumberFormat="1" applyFont="1" applyBorder="1" applyAlignment="1">
      <alignment/>
    </xf>
    <xf numFmtId="173" fontId="3" fillId="0" borderId="10" xfId="62" applyNumberFormat="1" applyFont="1" applyBorder="1" applyAlignment="1">
      <alignment/>
    </xf>
    <xf numFmtId="173" fontId="3" fillId="0" borderId="10" xfId="62" applyNumberFormat="1" applyFont="1" applyFill="1" applyBorder="1" applyAlignment="1">
      <alignment/>
    </xf>
    <xf numFmtId="173" fontId="3" fillId="25" borderId="10" xfId="62" applyNumberFormat="1" applyFont="1" applyFill="1" applyBorder="1" applyAlignment="1">
      <alignment/>
    </xf>
    <xf numFmtId="166" fontId="1" fillId="0" borderId="10" xfId="62" applyNumberFormat="1" applyFont="1" applyFill="1" applyBorder="1" applyAlignment="1">
      <alignment/>
    </xf>
    <xf numFmtId="175" fontId="3" fillId="0" borderId="10" xfId="62" applyNumberFormat="1" applyFont="1" applyFill="1" applyBorder="1" applyAlignment="1">
      <alignment/>
    </xf>
    <xf numFmtId="166" fontId="3" fillId="0" borderId="38" xfId="62" applyNumberFormat="1" applyFont="1" applyFill="1" applyBorder="1" applyAlignment="1">
      <alignment/>
    </xf>
    <xf numFmtId="176" fontId="1" fillId="0" borderId="43" xfId="62" applyNumberFormat="1" applyFont="1" applyFill="1" applyBorder="1" applyAlignment="1">
      <alignment/>
    </xf>
    <xf numFmtId="176" fontId="1" fillId="0" borderId="44" xfId="62" applyNumberFormat="1" applyFont="1" applyBorder="1" applyAlignment="1">
      <alignment/>
    </xf>
    <xf numFmtId="0" fontId="0" fillId="0" borderId="0" xfId="0" applyFill="1" applyAlignment="1">
      <alignment/>
    </xf>
    <xf numFmtId="200" fontId="0" fillId="25" borderId="0" xfId="57" applyNumberFormat="1" applyFont="1" applyFill="1" applyAlignment="1">
      <alignment/>
    </xf>
    <xf numFmtId="177" fontId="0" fillId="0" borderId="0" xfId="0" applyNumberFormat="1" applyAlignment="1">
      <alignment/>
    </xf>
    <xf numFmtId="0" fontId="3" fillId="0" borderId="0" xfId="0" applyFont="1" applyAlignment="1">
      <alignment/>
    </xf>
    <xf numFmtId="17" fontId="0" fillId="25" borderId="0" xfId="0" applyNumberFormat="1" applyFill="1" applyAlignment="1">
      <alignment/>
    </xf>
    <xf numFmtId="0" fontId="31" fillId="26" borderId="0" xfId="0" applyFont="1" applyFill="1" applyAlignment="1">
      <alignment/>
    </xf>
    <xf numFmtId="0" fontId="0" fillId="26" borderId="0" xfId="0" applyFill="1" applyAlignment="1">
      <alignment/>
    </xf>
    <xf numFmtId="167" fontId="1" fillId="0" borderId="10" xfId="62" applyNumberFormat="1" applyFont="1" applyFill="1" applyBorder="1" applyAlignment="1">
      <alignment/>
    </xf>
    <xf numFmtId="0" fontId="0" fillId="25" borderId="0" xfId="0" applyFill="1" applyAlignment="1">
      <alignment horizontal="center"/>
    </xf>
    <xf numFmtId="0" fontId="0" fillId="27" borderId="0" xfId="0" applyFill="1" applyAlignment="1">
      <alignment/>
    </xf>
    <xf numFmtId="165" fontId="1" fillId="0" borderId="0" xfId="0" applyNumberFormat="1" applyFont="1" applyAlignment="1">
      <alignment/>
    </xf>
    <xf numFmtId="4" fontId="1" fillId="0" borderId="13" xfId="62" applyNumberFormat="1" applyFont="1" applyFill="1" applyBorder="1" applyAlignment="1">
      <alignment/>
    </xf>
    <xf numFmtId="0" fontId="1" fillId="28" borderId="39" xfId="0" applyFont="1" applyFill="1" applyBorder="1" applyAlignment="1">
      <alignment/>
    </xf>
    <xf numFmtId="176" fontId="1" fillId="28" borderId="30" xfId="62" applyNumberFormat="1" applyFont="1" applyFill="1" applyBorder="1" applyAlignment="1">
      <alignment/>
    </xf>
    <xf numFmtId="177" fontId="3" fillId="28" borderId="30" xfId="62" applyNumberFormat="1" applyFont="1" applyFill="1" applyBorder="1" applyAlignment="1">
      <alignment/>
    </xf>
    <xf numFmtId="164" fontId="1" fillId="28" borderId="13" xfId="62" applyNumberFormat="1" applyFont="1" applyFill="1" applyBorder="1" applyAlignment="1">
      <alignment/>
    </xf>
    <xf numFmtId="164" fontId="1" fillId="28" borderId="10" xfId="62" applyNumberFormat="1" applyFont="1" applyFill="1" applyBorder="1" applyAlignment="1">
      <alignment/>
    </xf>
    <xf numFmtId="166" fontId="3" fillId="28" borderId="29" xfId="62" applyNumberFormat="1" applyFont="1" applyFill="1" applyBorder="1" applyAlignment="1">
      <alignment/>
    </xf>
    <xf numFmtId="177" fontId="1" fillId="28" borderId="30" xfId="62" applyNumberFormat="1" applyFont="1" applyFill="1" applyBorder="1" applyAlignment="1">
      <alignment/>
    </xf>
    <xf numFmtId="4" fontId="1" fillId="28" borderId="13" xfId="62" applyNumberFormat="1" applyFont="1" applyFill="1" applyBorder="1" applyAlignment="1">
      <alignment/>
    </xf>
    <xf numFmtId="176" fontId="1" fillId="28" borderId="27" xfId="62" applyNumberFormat="1" applyFont="1" applyFill="1" applyBorder="1" applyAlignment="1">
      <alignment/>
    </xf>
    <xf numFmtId="188" fontId="1" fillId="28" borderId="13" xfId="62" applyNumberFormat="1" applyFont="1" applyFill="1" applyBorder="1" applyAlignment="1">
      <alignment/>
    </xf>
    <xf numFmtId="176" fontId="1" fillId="28" borderId="10" xfId="62" applyNumberFormat="1" applyFont="1" applyFill="1" applyBorder="1" applyAlignment="1">
      <alignment/>
    </xf>
    <xf numFmtId="173" fontId="3" fillId="28" borderId="10" xfId="62" applyNumberFormat="1" applyFont="1" applyFill="1" applyBorder="1" applyAlignment="1">
      <alignment/>
    </xf>
    <xf numFmtId="166" fontId="1" fillId="28" borderId="10" xfId="62" applyNumberFormat="1" applyFont="1" applyFill="1" applyBorder="1" applyAlignment="1">
      <alignment/>
    </xf>
    <xf numFmtId="164" fontId="1" fillId="28" borderId="27" xfId="62" applyNumberFormat="1" applyFont="1" applyFill="1" applyBorder="1" applyAlignment="1">
      <alignment/>
    </xf>
    <xf numFmtId="175" fontId="3" fillId="28" borderId="10" xfId="62" applyNumberFormat="1" applyFont="1" applyFill="1" applyBorder="1" applyAlignment="1">
      <alignment/>
    </xf>
    <xf numFmtId="166" fontId="3" fillId="28" borderId="38" xfId="62" applyNumberFormat="1" applyFont="1" applyFill="1" applyBorder="1" applyAlignment="1">
      <alignment/>
    </xf>
    <xf numFmtId="166" fontId="1" fillId="28" borderId="13" xfId="62" applyNumberFormat="1" applyFont="1" applyFill="1" applyBorder="1" applyAlignment="1">
      <alignment/>
    </xf>
    <xf numFmtId="0" fontId="1" fillId="29" borderId="11" xfId="0" applyFont="1" applyFill="1" applyBorder="1" applyAlignment="1">
      <alignment horizontal="center" vertical="center" wrapText="1"/>
    </xf>
    <xf numFmtId="0" fontId="1" fillId="29" borderId="24" xfId="0" applyFont="1" applyFill="1" applyBorder="1" applyAlignment="1">
      <alignment horizontal="center" vertical="center" wrapText="1"/>
    </xf>
    <xf numFmtId="166" fontId="3" fillId="0" borderId="0" xfId="62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/>
    </xf>
    <xf numFmtId="172" fontId="3" fillId="0" borderId="10" xfId="62" applyNumberFormat="1" applyFont="1" applyBorder="1" applyAlignment="1">
      <alignment/>
    </xf>
    <xf numFmtId="172" fontId="3" fillId="28" borderId="10" xfId="62" applyNumberFormat="1" applyFont="1" applyFill="1" applyBorder="1" applyAlignment="1">
      <alignment/>
    </xf>
    <xf numFmtId="172" fontId="3" fillId="0" borderId="10" xfId="62" applyNumberFormat="1" applyFont="1" applyFill="1" applyBorder="1" applyAlignment="1">
      <alignment/>
    </xf>
    <xf numFmtId="43" fontId="0" fillId="0" borderId="0" xfId="0" applyNumberFormat="1" applyAlignment="1">
      <alignment/>
    </xf>
    <xf numFmtId="43" fontId="2" fillId="0" borderId="0" xfId="62" applyFont="1" applyAlignment="1">
      <alignment horizontal="center" wrapText="1"/>
    </xf>
    <xf numFmtId="43" fontId="2" fillId="0" borderId="45" xfId="62" applyFont="1" applyBorder="1" applyAlignment="1">
      <alignment horizont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6" fillId="30" borderId="46" xfId="0" applyFont="1" applyFill="1" applyBorder="1" applyAlignment="1">
      <alignment horizontal="center" vertical="center"/>
    </xf>
    <xf numFmtId="0" fontId="6" fillId="30" borderId="49" xfId="0" applyFont="1" applyFill="1" applyBorder="1" applyAlignment="1">
      <alignment horizontal="center" vertical="center"/>
    </xf>
    <xf numFmtId="0" fontId="6" fillId="30" borderId="50" xfId="0" applyFont="1" applyFill="1" applyBorder="1" applyAlignment="1">
      <alignment horizontal="center" vertical="center"/>
    </xf>
    <xf numFmtId="0" fontId="6" fillId="8" borderId="51" xfId="0" applyFont="1" applyFill="1" applyBorder="1" applyAlignment="1">
      <alignment horizontal="center" vertical="center"/>
    </xf>
    <xf numFmtId="0" fontId="6" fillId="31" borderId="49" xfId="0" applyFont="1" applyFill="1" applyBorder="1" applyAlignment="1">
      <alignment horizontal="center" vertical="center"/>
    </xf>
    <xf numFmtId="0" fontId="6" fillId="31" borderId="50" xfId="0" applyFont="1" applyFill="1" applyBorder="1" applyAlignment="1">
      <alignment horizontal="center" vertical="center"/>
    </xf>
    <xf numFmtId="0" fontId="6" fillId="8" borderId="52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64" fontId="3" fillId="0" borderId="0" xfId="62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46"/>
  <sheetViews>
    <sheetView tabSelected="1" zoomScale="70" zoomScaleNormal="70" zoomScaleSheetLayoutView="7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L29" sqref="BL29:BM29"/>
    </sheetView>
  </sheetViews>
  <sheetFormatPr defaultColWidth="9.00390625" defaultRowHeight="12.75"/>
  <cols>
    <col min="1" max="1" width="21.375" style="0" customWidth="1"/>
    <col min="2" max="2" width="22.00390625" style="0" customWidth="1"/>
    <col min="3" max="3" width="20.25390625" style="0" customWidth="1"/>
    <col min="4" max="4" width="20.125" style="0" customWidth="1"/>
    <col min="5" max="5" width="32.875" style="0" customWidth="1"/>
    <col min="6" max="6" width="21.625" style="0" customWidth="1"/>
    <col min="7" max="7" width="23.75390625" style="0" customWidth="1"/>
    <col min="8" max="8" width="21.625" style="0" customWidth="1"/>
    <col min="9" max="10" width="20.125" style="0" customWidth="1"/>
    <col min="11" max="11" width="17.75390625" style="0" customWidth="1"/>
    <col min="12" max="12" width="17.375" style="0" customWidth="1"/>
    <col min="13" max="13" width="12.875" style="0" customWidth="1"/>
    <col min="14" max="14" width="19.625" style="0" customWidth="1"/>
    <col min="15" max="15" width="22.25390625" style="0" customWidth="1"/>
    <col min="16" max="16" width="17.125" style="0" customWidth="1"/>
    <col min="17" max="17" width="19.625" style="0" customWidth="1"/>
    <col min="18" max="18" width="21.625" style="0" customWidth="1"/>
    <col min="19" max="19" width="25.25390625" style="0" customWidth="1"/>
    <col min="20" max="20" width="24.25390625" style="0" customWidth="1"/>
    <col min="21" max="21" width="29.75390625" style="0" customWidth="1"/>
    <col min="22" max="22" width="18.00390625" style="0" customWidth="1"/>
    <col min="23" max="23" width="23.75390625" style="0" customWidth="1"/>
    <col min="24" max="24" width="14.00390625" style="0" customWidth="1"/>
    <col min="25" max="25" width="15.375" style="0" customWidth="1"/>
    <col min="26" max="26" width="15.125" style="0" customWidth="1"/>
    <col min="27" max="27" width="14.625" style="0" customWidth="1"/>
    <col min="28" max="28" width="20.75390625" style="0" customWidth="1"/>
    <col min="29" max="29" width="12.875" style="0" customWidth="1"/>
    <col min="30" max="30" width="13.25390625" style="0" customWidth="1"/>
    <col min="31" max="31" width="13.00390625" style="0" customWidth="1"/>
    <col min="32" max="32" width="15.25390625" style="0" hidden="1" customWidth="1"/>
    <col min="33" max="33" width="20.25390625" style="0" hidden="1" customWidth="1"/>
    <col min="34" max="34" width="36.625" style="0" hidden="1" customWidth="1"/>
    <col min="35" max="35" width="25.375" style="0" customWidth="1"/>
    <col min="36" max="36" width="10.75390625" style="0" customWidth="1"/>
    <col min="37" max="37" width="16.00390625" style="0" customWidth="1"/>
    <col min="38" max="38" width="13.125" style="0" customWidth="1"/>
    <col min="39" max="40" width="23.875" style="0" customWidth="1"/>
    <col min="41" max="41" width="46.00390625" style="0" customWidth="1"/>
    <col min="42" max="42" width="16.875" style="0" customWidth="1"/>
    <col min="43" max="43" width="21.125" style="0" customWidth="1"/>
    <col min="44" max="44" width="14.75390625" style="0" customWidth="1"/>
    <col min="45" max="45" width="27.25390625" style="0" customWidth="1"/>
    <col min="46" max="46" width="24.375" style="0" customWidth="1"/>
    <col min="47" max="47" width="27.25390625" style="0" customWidth="1"/>
    <col min="48" max="48" width="16.875" style="0" customWidth="1"/>
    <col min="49" max="49" width="21.125" style="0" customWidth="1"/>
    <col min="50" max="50" width="14.75390625" style="0" customWidth="1"/>
    <col min="51" max="51" width="13.875" style="0" customWidth="1"/>
    <col min="52" max="52" width="9.125" style="84" customWidth="1"/>
    <col min="53" max="53" width="13.875" style="0" customWidth="1"/>
    <col min="54" max="54" width="9.125" style="71" customWidth="1"/>
    <col min="55" max="56" width="0" style="71" hidden="1" customWidth="1"/>
    <col min="57" max="59" width="12.25390625" style="71" hidden="1" customWidth="1"/>
    <col min="60" max="60" width="11.00390625" style="71" hidden="1" customWidth="1"/>
    <col min="61" max="61" width="0" style="71" hidden="1" customWidth="1"/>
    <col min="62" max="63" width="9.125" style="71" customWidth="1"/>
    <col min="64" max="64" width="12.25390625" style="71" customWidth="1"/>
    <col min="65" max="65" width="12.875" style="71" customWidth="1"/>
    <col min="66" max="66" width="13.00390625" style="71" customWidth="1"/>
    <col min="67" max="67" width="11.00390625" style="71" customWidth="1"/>
    <col min="68" max="16384" width="9.125" style="71" customWidth="1"/>
  </cols>
  <sheetData>
    <row r="1" spans="1:53" s="72" customFormat="1" ht="16.5" customHeight="1">
      <c r="A1" s="1"/>
      <c r="B1" s="122" t="s">
        <v>95</v>
      </c>
      <c r="C1" s="122"/>
      <c r="D1" s="122"/>
      <c r="E1" s="122"/>
      <c r="F1" s="122"/>
      <c r="G1" s="122"/>
      <c r="H1" s="122"/>
      <c r="I1" s="73"/>
      <c r="J1" s="73"/>
      <c r="K1" s="73"/>
      <c r="L1" s="73"/>
      <c r="M1" s="73"/>
      <c r="N1" s="1"/>
      <c r="O1" s="1"/>
      <c r="P1" s="1"/>
      <c r="Q1" s="1"/>
      <c r="R1" s="7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7"/>
      <c r="AM1" s="27"/>
      <c r="AN1" s="28"/>
      <c r="AO1" s="28"/>
      <c r="AP1" s="28"/>
      <c r="AQ1" s="27"/>
      <c r="AR1" s="1"/>
      <c r="AS1" s="27"/>
      <c r="AT1" s="27"/>
      <c r="AU1" s="28"/>
      <c r="AV1" s="28"/>
      <c r="AW1" s="27"/>
      <c r="AX1" s="1"/>
      <c r="AY1" s="1"/>
      <c r="AZ1" s="73"/>
      <c r="BA1" s="1"/>
    </row>
    <row r="2" spans="2:53" ht="12.75" customHeight="1" hidden="1">
      <c r="B2" s="122"/>
      <c r="C2" s="122"/>
      <c r="D2" s="122"/>
      <c r="E2" s="122"/>
      <c r="F2" s="122"/>
      <c r="G2" s="122"/>
      <c r="H2" s="122"/>
      <c r="BA2" s="1"/>
    </row>
    <row r="3" spans="2:53" ht="13.5" thickBot="1">
      <c r="B3" s="123"/>
      <c r="C3" s="123"/>
      <c r="D3" s="123"/>
      <c r="E3" s="123"/>
      <c r="F3" s="123"/>
      <c r="G3" s="123"/>
      <c r="H3" s="123"/>
      <c r="I3" s="84"/>
      <c r="K3" s="86"/>
      <c r="L3" s="84"/>
      <c r="M3" s="84"/>
      <c r="T3" s="84"/>
      <c r="Y3" s="93"/>
      <c r="AE3" s="84"/>
      <c r="AM3" s="84"/>
      <c r="AN3" s="84"/>
      <c r="AO3" s="84"/>
      <c r="BA3" s="1"/>
    </row>
    <row r="4" spans="1:53" ht="13.5" thickTop="1">
      <c r="A4" s="124" t="s">
        <v>40</v>
      </c>
      <c r="B4" s="127"/>
      <c r="C4" s="128"/>
      <c r="D4" s="128"/>
      <c r="E4" s="128"/>
      <c r="F4" s="128"/>
      <c r="G4" s="128"/>
      <c r="H4" s="129"/>
      <c r="I4" s="130"/>
      <c r="J4" s="131"/>
      <c r="K4" s="131"/>
      <c r="L4" s="131"/>
      <c r="M4" s="131"/>
      <c r="N4" s="131"/>
      <c r="O4" s="131"/>
      <c r="P4" s="131"/>
      <c r="Q4" s="132"/>
      <c r="R4" s="130"/>
      <c r="S4" s="131"/>
      <c r="T4" s="131"/>
      <c r="U4" s="131"/>
      <c r="V4" s="131"/>
      <c r="W4" s="131"/>
      <c r="X4" s="132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3"/>
      <c r="AM4" s="130"/>
      <c r="AN4" s="131"/>
      <c r="AO4" s="131"/>
      <c r="AP4" s="131"/>
      <c r="AQ4" s="131"/>
      <c r="AR4" s="133"/>
      <c r="AS4" s="130"/>
      <c r="AT4" s="131"/>
      <c r="AU4" s="131"/>
      <c r="AV4" s="131"/>
      <c r="AW4" s="131"/>
      <c r="AX4" s="133"/>
      <c r="AY4" s="39"/>
      <c r="AZ4" s="117"/>
      <c r="BA4" s="1"/>
    </row>
    <row r="5" spans="1:53" ht="13.5" thickBot="1">
      <c r="A5" s="125"/>
      <c r="B5" s="134"/>
      <c r="C5" s="135"/>
      <c r="D5" s="135"/>
      <c r="E5" s="3" t="s">
        <v>41</v>
      </c>
      <c r="F5" s="11"/>
      <c r="G5" s="12"/>
      <c r="H5" s="15"/>
      <c r="I5" s="136"/>
      <c r="J5" s="135"/>
      <c r="K5" s="135"/>
      <c r="L5" s="2"/>
      <c r="M5" s="2"/>
      <c r="N5" s="3" t="s">
        <v>42</v>
      </c>
      <c r="O5" s="11"/>
      <c r="P5" s="12"/>
      <c r="Q5" s="15"/>
      <c r="R5" s="136"/>
      <c r="S5" s="135"/>
      <c r="T5" s="135"/>
      <c r="U5" s="3" t="s">
        <v>43</v>
      </c>
      <c r="V5" s="11"/>
      <c r="W5" s="12"/>
      <c r="X5" s="15"/>
      <c r="Y5" s="137"/>
      <c r="Z5" s="135"/>
      <c r="AA5" s="135"/>
      <c r="AB5" s="2"/>
      <c r="AC5" s="2"/>
      <c r="AD5" s="2"/>
      <c r="AE5" s="2"/>
      <c r="AF5" s="2"/>
      <c r="AG5" s="2"/>
      <c r="AH5" s="2"/>
      <c r="AI5" s="3" t="s">
        <v>44</v>
      </c>
      <c r="AJ5" s="11"/>
      <c r="AK5" s="12"/>
      <c r="AL5" s="40"/>
      <c r="AM5" s="136"/>
      <c r="AN5" s="135"/>
      <c r="AO5" s="3" t="s">
        <v>45</v>
      </c>
      <c r="AP5" s="11"/>
      <c r="AQ5" s="12"/>
      <c r="AR5" s="40"/>
      <c r="AS5" s="136"/>
      <c r="AT5" s="135"/>
      <c r="AU5" s="3" t="s">
        <v>91</v>
      </c>
      <c r="AV5" s="11"/>
      <c r="AW5" s="12"/>
      <c r="AX5" s="40"/>
      <c r="AY5" s="41"/>
      <c r="AZ5" s="117"/>
      <c r="BA5" s="1"/>
    </row>
    <row r="6" spans="1:53" ht="159.75" customHeight="1" thickBot="1">
      <c r="A6" s="125"/>
      <c r="B6" s="4" t="s">
        <v>46</v>
      </c>
      <c r="C6" s="4" t="s">
        <v>47</v>
      </c>
      <c r="D6" s="4" t="s">
        <v>48</v>
      </c>
      <c r="E6" s="4" t="s">
        <v>49</v>
      </c>
      <c r="F6" s="5" t="s">
        <v>37</v>
      </c>
      <c r="G6" s="5" t="s">
        <v>50</v>
      </c>
      <c r="H6" s="16" t="s">
        <v>38</v>
      </c>
      <c r="I6" s="4" t="s">
        <v>51</v>
      </c>
      <c r="J6" s="4" t="s">
        <v>52</v>
      </c>
      <c r="K6" s="4" t="s">
        <v>85</v>
      </c>
      <c r="L6" s="4" t="s">
        <v>54</v>
      </c>
      <c r="M6" s="4" t="s">
        <v>90</v>
      </c>
      <c r="N6" s="4" t="s">
        <v>55</v>
      </c>
      <c r="O6" s="5" t="s">
        <v>37</v>
      </c>
      <c r="P6" s="5" t="s">
        <v>50</v>
      </c>
      <c r="Q6" s="16" t="s">
        <v>38</v>
      </c>
      <c r="R6" s="4" t="s">
        <v>56</v>
      </c>
      <c r="S6" s="4" t="s">
        <v>57</v>
      </c>
      <c r="T6" s="4" t="s">
        <v>58</v>
      </c>
      <c r="U6" s="4" t="s">
        <v>59</v>
      </c>
      <c r="V6" s="5" t="s">
        <v>37</v>
      </c>
      <c r="W6" s="5" t="s">
        <v>50</v>
      </c>
      <c r="X6" s="16" t="s">
        <v>38</v>
      </c>
      <c r="Y6" s="4" t="s">
        <v>60</v>
      </c>
      <c r="Z6" s="4" t="s">
        <v>61</v>
      </c>
      <c r="AA6" s="4" t="s">
        <v>62</v>
      </c>
      <c r="AB6" s="4" t="s">
        <v>63</v>
      </c>
      <c r="AC6" s="4" t="s">
        <v>64</v>
      </c>
      <c r="AD6" s="4" t="s">
        <v>53</v>
      </c>
      <c r="AE6" s="4" t="s">
        <v>65</v>
      </c>
      <c r="AF6" s="70" t="s">
        <v>83</v>
      </c>
      <c r="AG6" s="70" t="s">
        <v>84</v>
      </c>
      <c r="AH6" s="70" t="s">
        <v>87</v>
      </c>
      <c r="AI6" s="4" t="s">
        <v>88</v>
      </c>
      <c r="AJ6" s="5" t="s">
        <v>37</v>
      </c>
      <c r="AK6" s="5" t="s">
        <v>50</v>
      </c>
      <c r="AL6" s="5" t="s">
        <v>38</v>
      </c>
      <c r="AM6" s="22" t="s">
        <v>66</v>
      </c>
      <c r="AN6" s="4" t="s">
        <v>67</v>
      </c>
      <c r="AO6" s="4" t="s">
        <v>68</v>
      </c>
      <c r="AP6" s="5" t="s">
        <v>37</v>
      </c>
      <c r="AQ6" s="5" t="s">
        <v>50</v>
      </c>
      <c r="AR6" s="5" t="s">
        <v>38</v>
      </c>
      <c r="AS6" s="114" t="s">
        <v>92</v>
      </c>
      <c r="AT6" s="113" t="s">
        <v>94</v>
      </c>
      <c r="AU6" s="113" t="s">
        <v>93</v>
      </c>
      <c r="AV6" s="5" t="s">
        <v>37</v>
      </c>
      <c r="AW6" s="5" t="s">
        <v>50</v>
      </c>
      <c r="AX6" s="5" t="s">
        <v>38</v>
      </c>
      <c r="AY6" s="38" t="s">
        <v>69</v>
      </c>
      <c r="AZ6" s="138"/>
      <c r="BA6" s="1"/>
    </row>
    <row r="7" spans="1:53" ht="52.5" thickBot="1" thickTop="1">
      <c r="A7" s="126"/>
      <c r="B7" s="6" t="s">
        <v>34</v>
      </c>
      <c r="C7" s="6" t="s">
        <v>35</v>
      </c>
      <c r="D7" s="6" t="s">
        <v>36</v>
      </c>
      <c r="E7" s="6" t="s">
        <v>86</v>
      </c>
      <c r="F7" s="6" t="s">
        <v>70</v>
      </c>
      <c r="G7" s="6" t="s">
        <v>70</v>
      </c>
      <c r="H7" s="17">
        <v>1</v>
      </c>
      <c r="I7" s="6" t="s">
        <v>34</v>
      </c>
      <c r="J7" s="6" t="s">
        <v>35</v>
      </c>
      <c r="K7" s="6" t="s">
        <v>36</v>
      </c>
      <c r="L7" s="6" t="s">
        <v>71</v>
      </c>
      <c r="M7" s="6"/>
      <c r="N7" s="6" t="s">
        <v>72</v>
      </c>
      <c r="O7" s="42" t="s">
        <v>70</v>
      </c>
      <c r="P7" s="43" t="s">
        <v>73</v>
      </c>
      <c r="Q7" s="17">
        <v>1</v>
      </c>
      <c r="R7" s="6" t="s">
        <v>34</v>
      </c>
      <c r="S7" s="6" t="s">
        <v>35</v>
      </c>
      <c r="T7" s="6" t="s">
        <v>36</v>
      </c>
      <c r="U7" s="6" t="s">
        <v>74</v>
      </c>
      <c r="V7" s="6" t="s">
        <v>75</v>
      </c>
      <c r="W7" s="6" t="s">
        <v>75</v>
      </c>
      <c r="X7" s="17">
        <v>1</v>
      </c>
      <c r="Y7" s="6" t="s">
        <v>34</v>
      </c>
      <c r="Z7" s="6" t="s">
        <v>35</v>
      </c>
      <c r="AA7" s="6" t="s">
        <v>36</v>
      </c>
      <c r="AB7" s="6" t="s">
        <v>76</v>
      </c>
      <c r="AC7" s="6" t="s">
        <v>71</v>
      </c>
      <c r="AD7" s="6" t="s">
        <v>77</v>
      </c>
      <c r="AE7" s="6" t="s">
        <v>78</v>
      </c>
      <c r="AF7" s="29"/>
      <c r="AG7" s="29"/>
      <c r="AH7" s="29"/>
      <c r="AI7" s="6" t="s">
        <v>79</v>
      </c>
      <c r="AJ7" s="6" t="s">
        <v>80</v>
      </c>
      <c r="AK7" s="6" t="s">
        <v>39</v>
      </c>
      <c r="AL7" s="6">
        <v>1.5</v>
      </c>
      <c r="AM7" s="6" t="s">
        <v>34</v>
      </c>
      <c r="AN7" s="6" t="s">
        <v>35</v>
      </c>
      <c r="AO7" s="6" t="s">
        <v>81</v>
      </c>
      <c r="AP7" s="6" t="s">
        <v>70</v>
      </c>
      <c r="AQ7" s="6" t="s">
        <v>70</v>
      </c>
      <c r="AR7" s="6">
        <v>1</v>
      </c>
      <c r="AS7" s="6" t="s">
        <v>34</v>
      </c>
      <c r="AT7" s="6" t="s">
        <v>35</v>
      </c>
      <c r="AU7" s="6" t="s">
        <v>81</v>
      </c>
      <c r="AV7" s="6" t="s">
        <v>70</v>
      </c>
      <c r="AW7" s="6" t="s">
        <v>70</v>
      </c>
      <c r="AX7" s="6">
        <v>1</v>
      </c>
      <c r="AY7" s="44"/>
      <c r="AZ7" s="138"/>
      <c r="BA7" s="1"/>
    </row>
    <row r="8" spans="1:62" ht="15" thickBot="1" thickTop="1">
      <c r="A8" s="45"/>
      <c r="B8" s="18" t="s">
        <v>89</v>
      </c>
      <c r="C8" s="18" t="s">
        <v>89</v>
      </c>
      <c r="D8" s="18" t="s">
        <v>89</v>
      </c>
      <c r="E8" s="18"/>
      <c r="F8" s="18"/>
      <c r="G8" s="18"/>
      <c r="H8" s="19"/>
      <c r="I8" s="116"/>
      <c r="J8" s="18"/>
      <c r="K8" s="18"/>
      <c r="L8" s="117"/>
      <c r="M8" s="117"/>
      <c r="N8" s="18"/>
      <c r="O8" s="18"/>
      <c r="P8" s="18"/>
      <c r="Q8" s="19"/>
      <c r="R8" s="116"/>
      <c r="S8" s="18"/>
      <c r="T8" s="18"/>
      <c r="U8" s="18"/>
      <c r="V8" s="18"/>
      <c r="W8" s="18"/>
      <c r="X8" s="19"/>
      <c r="Y8" s="46" t="s">
        <v>89</v>
      </c>
      <c r="Z8" s="18"/>
      <c r="AA8" s="18"/>
      <c r="AB8" s="117"/>
      <c r="AC8" s="46"/>
      <c r="AD8" s="18"/>
      <c r="AE8" s="18"/>
      <c r="AF8" s="18"/>
      <c r="AG8" s="18"/>
      <c r="AH8" s="18"/>
      <c r="AI8" s="18"/>
      <c r="AJ8" s="18"/>
      <c r="AK8" s="18"/>
      <c r="AL8" s="18"/>
      <c r="AM8" s="23"/>
      <c r="AN8" s="18"/>
      <c r="AO8" s="18"/>
      <c r="AP8" s="18"/>
      <c r="AQ8" s="18"/>
      <c r="AR8" s="18"/>
      <c r="AS8" s="23"/>
      <c r="AT8" s="18"/>
      <c r="AU8" s="18"/>
      <c r="AV8" s="18"/>
      <c r="AW8" s="18"/>
      <c r="AX8" s="18"/>
      <c r="AY8" s="47"/>
      <c r="AZ8" s="117"/>
      <c r="BA8" s="1"/>
      <c r="BJ8" s="92"/>
    </row>
    <row r="9" spans="1:64" ht="14.25" thickBot="1" thickTop="1">
      <c r="A9" s="48"/>
      <c r="B9" s="10"/>
      <c r="C9" s="10"/>
      <c r="D9" s="10"/>
      <c r="E9" s="10"/>
      <c r="F9" s="10"/>
      <c r="G9" s="10"/>
      <c r="H9" s="20"/>
      <c r="I9" s="24"/>
      <c r="J9" s="10"/>
      <c r="K9" s="10"/>
      <c r="L9" s="10"/>
      <c r="M9" s="10"/>
      <c r="N9" s="10"/>
      <c r="O9" s="10"/>
      <c r="P9" s="10"/>
      <c r="Q9" s="20"/>
      <c r="R9" s="24"/>
      <c r="S9" s="10"/>
      <c r="T9" s="10"/>
      <c r="U9" s="10"/>
      <c r="V9" s="10"/>
      <c r="W9" s="10"/>
      <c r="X9" s="20"/>
      <c r="Y9" s="13"/>
      <c r="Z9" s="10"/>
      <c r="AA9" s="10"/>
      <c r="AB9" s="10"/>
      <c r="AC9" s="10"/>
      <c r="AD9" s="10"/>
      <c r="AE9" s="10"/>
      <c r="AF9" s="10"/>
      <c r="AG9" s="10"/>
      <c r="AH9" s="10"/>
      <c r="AI9" s="49" t="s">
        <v>82</v>
      </c>
      <c r="AJ9" s="10"/>
      <c r="AK9" s="10"/>
      <c r="AL9" s="10"/>
      <c r="AM9" s="24"/>
      <c r="AN9" s="10"/>
      <c r="AO9" s="10"/>
      <c r="AP9" s="10"/>
      <c r="AQ9" s="10"/>
      <c r="AR9" s="10"/>
      <c r="AS9" s="24"/>
      <c r="AT9" s="10"/>
      <c r="AU9" s="10"/>
      <c r="AV9" s="10"/>
      <c r="AW9" s="10"/>
      <c r="AX9" s="10"/>
      <c r="AY9" s="50"/>
      <c r="AZ9" s="139"/>
      <c r="BA9" s="1"/>
      <c r="BE9" s="88"/>
      <c r="BJ9" s="92"/>
      <c r="BL9" s="88"/>
    </row>
    <row r="10" spans="1:66" ht="13.5" thickTop="1">
      <c r="A10" s="51" t="s">
        <v>0</v>
      </c>
      <c r="B10" s="37">
        <v>1963186.558</v>
      </c>
      <c r="C10" s="37">
        <v>73424.85040000001</v>
      </c>
      <c r="D10" s="37">
        <v>2011714.558</v>
      </c>
      <c r="E10" s="52">
        <f>IF(AND(B10=0,D10=0),0,B10/(IF(C10&gt;0,C10,0)+D10))</f>
        <v>0.9415133348356891</v>
      </c>
      <c r="F10" s="7">
        <f>IF(E10&lt;=1.05,1,0)</f>
        <v>1</v>
      </c>
      <c r="G10" s="8"/>
      <c r="H10" s="30">
        <f aca="true" t="shared" si="0" ref="H10:H42">F10+G10</f>
        <v>1</v>
      </c>
      <c r="I10" s="69">
        <v>2224888.85</v>
      </c>
      <c r="J10" s="74">
        <v>6576847.87009</v>
      </c>
      <c r="K10" s="95">
        <v>3926824.17009</v>
      </c>
      <c r="L10" s="69">
        <v>95948.69512195121</v>
      </c>
      <c r="M10" s="37">
        <v>50000</v>
      </c>
      <c r="N10" s="61">
        <f>(I10-M10)/(J10-K10-L10)</f>
        <v>0.8515367974104763</v>
      </c>
      <c r="O10" s="7">
        <f aca="true" t="shared" si="1" ref="O10:O16">IF(N10&lt;=1,1,0)</f>
        <v>1</v>
      </c>
      <c r="P10" s="8"/>
      <c r="Q10" s="30">
        <f aca="true" t="shared" si="2" ref="Q10:Q42">O10+P10</f>
        <v>1</v>
      </c>
      <c r="R10" s="82">
        <v>283969.7</v>
      </c>
      <c r="S10" s="37">
        <v>6650272.72049</v>
      </c>
      <c r="T10" s="53">
        <v>2365085.68969</v>
      </c>
      <c r="U10" s="52">
        <f aca="true" t="shared" si="3" ref="U10:U42">R10/(S10-T10)</f>
        <v>0.06626774933251532</v>
      </c>
      <c r="V10" s="7">
        <f aca="true" t="shared" si="4" ref="V10:V16">IF(U10&lt;=0.15,1,0)</f>
        <v>1</v>
      </c>
      <c r="W10" s="8"/>
      <c r="X10" s="30">
        <f>V10+W10</f>
        <v>1</v>
      </c>
      <c r="Y10" s="37">
        <v>-73424.85040000001</v>
      </c>
      <c r="Z10" s="91">
        <v>48528</v>
      </c>
      <c r="AA10" s="35">
        <v>73424.85040000001</v>
      </c>
      <c r="AB10" s="54">
        <v>0</v>
      </c>
      <c r="AC10" s="54">
        <f aca="true" t="shared" si="5" ref="AC10:AE42">J10</f>
        <v>6576847.87009</v>
      </c>
      <c r="AD10" s="54">
        <f t="shared" si="5"/>
        <v>3926824.17009</v>
      </c>
      <c r="AE10" s="54">
        <f t="shared" si="5"/>
        <v>95948.69512195121</v>
      </c>
      <c r="AF10" s="54">
        <f>AC10-AD10-AE10</f>
        <v>2554075.004878049</v>
      </c>
      <c r="AG10" s="54">
        <f aca="true" t="shared" si="6" ref="AG10:AG17">AF10*10%</f>
        <v>255407.50048780488</v>
      </c>
      <c r="AH10" s="54">
        <f aca="true" t="shared" si="7" ref="AH10:AH15">IF(AA10&gt;0,AA10,0)+AG10+IF(AB10&gt;0,AB10,0)</f>
        <v>328832.3508878049</v>
      </c>
      <c r="AI10" s="76">
        <f>IF((Y10-IF(Z10&gt;0,Z10,0)-IF(AA10&gt;0,AA10,0)-IF(AB10&gt;0,AB10,0))/(AC10-AD10-AE10)&gt;0,(Y10-IF(Z10&gt;0,Z10,0)-IF(AA10&gt;0,AA10,0)-IF(AB10&gt;0,AB10,0))/(AC10-AD10-AE10),0)</f>
        <v>0</v>
      </c>
      <c r="AJ10" s="33">
        <f>IF(AI10&lt;=0.1,1.5,0)</f>
        <v>1.5</v>
      </c>
      <c r="AK10" s="55"/>
      <c r="AL10" s="56">
        <f aca="true" t="shared" si="8" ref="AL10:AL42">AJ10+AK10</f>
        <v>1.5</v>
      </c>
      <c r="AM10" s="57">
        <v>211267.8</v>
      </c>
      <c r="AN10" s="55">
        <v>224269</v>
      </c>
      <c r="AO10" s="118">
        <f aca="true" t="shared" si="9" ref="AO10:AO42">AM10/AN10</f>
        <v>0.9420285460763635</v>
      </c>
      <c r="AP10" s="32">
        <f>IF(AO10&lt;=1,1,0)</f>
        <v>1</v>
      </c>
      <c r="AQ10" s="8"/>
      <c r="AR10" s="58">
        <f>AP10+AQ10</f>
        <v>1</v>
      </c>
      <c r="AS10" s="57">
        <v>407953.8</v>
      </c>
      <c r="AT10" s="55">
        <v>408720</v>
      </c>
      <c r="AU10" s="76">
        <f aca="true" t="shared" si="10" ref="AU10:AU42">AS10/AT10</f>
        <v>0.9981253669994128</v>
      </c>
      <c r="AV10" s="32">
        <f>IF(AU10&lt;=1,1,0)</f>
        <v>1</v>
      </c>
      <c r="AW10" s="8"/>
      <c r="AX10" s="58">
        <f aca="true" t="shared" si="11" ref="AX10:AX42">AV10+AW10</f>
        <v>1</v>
      </c>
      <c r="AY10" s="59">
        <f>H10+Q10+X10+AL10+AR10+AX10</f>
        <v>6.5</v>
      </c>
      <c r="AZ10" s="115"/>
      <c r="BA10" s="94"/>
      <c r="BC10" s="85"/>
      <c r="BE10" s="87"/>
      <c r="BF10" s="87"/>
      <c r="BG10" s="87"/>
      <c r="BJ10" s="85"/>
      <c r="BL10" s="87"/>
      <c r="BM10" s="87"/>
      <c r="BN10" s="87"/>
    </row>
    <row r="11" spans="1:66" ht="12.75">
      <c r="A11" s="96" t="s">
        <v>1</v>
      </c>
      <c r="B11" s="97">
        <v>20810</v>
      </c>
      <c r="C11" s="97">
        <v>1500.47209</v>
      </c>
      <c r="D11" s="97">
        <v>21810</v>
      </c>
      <c r="E11" s="98">
        <f aca="true" t="shared" si="12" ref="E11:E42">IF(AND(B11=0,D11=0),0,B11/(IF(C11&gt;0,C11,0)+D11))</f>
        <v>0.8927318125370494</v>
      </c>
      <c r="F11" s="99"/>
      <c r="G11" s="100">
        <f>IF(E11&lt;=1.05,1,0)</f>
        <v>1</v>
      </c>
      <c r="H11" s="101">
        <f t="shared" si="0"/>
        <v>1</v>
      </c>
      <c r="I11" s="97">
        <v>27620</v>
      </c>
      <c r="J11" s="102">
        <v>704221.18547</v>
      </c>
      <c r="K11" s="103">
        <v>499966.38547000004</v>
      </c>
      <c r="L11" s="97">
        <v>141521.98360655736</v>
      </c>
      <c r="M11" s="97">
        <v>11620</v>
      </c>
      <c r="N11" s="98">
        <f>(I11-M11)/(J11-K11-L11)</f>
        <v>0.25504992314791813</v>
      </c>
      <c r="O11" s="99"/>
      <c r="P11" s="100">
        <f>IF(N11&lt;=0.5,1,0)</f>
        <v>1</v>
      </c>
      <c r="Q11" s="101">
        <f t="shared" si="2"/>
        <v>1</v>
      </c>
      <c r="R11" s="104">
        <v>1981.132</v>
      </c>
      <c r="S11" s="97">
        <v>705721.65756</v>
      </c>
      <c r="T11" s="105">
        <v>359134.91413</v>
      </c>
      <c r="U11" s="98">
        <f t="shared" si="3"/>
        <v>0.005716121685421961</v>
      </c>
      <c r="V11" s="99"/>
      <c r="W11" s="100">
        <f>IF(U11&lt;=0.15,1,0)</f>
        <v>1</v>
      </c>
      <c r="X11" s="101">
        <f aca="true" t="shared" si="13" ref="X11:X42">V11+W11</f>
        <v>1</v>
      </c>
      <c r="Y11" s="97">
        <v>-1500.47209</v>
      </c>
      <c r="Z11" s="106">
        <v>0</v>
      </c>
      <c r="AA11" s="106">
        <v>2500.4720899999998</v>
      </c>
      <c r="AB11" s="106">
        <v>5810</v>
      </c>
      <c r="AC11" s="106">
        <f t="shared" si="5"/>
        <v>704221.18547</v>
      </c>
      <c r="AD11" s="106">
        <f t="shared" si="5"/>
        <v>499966.38547000004</v>
      </c>
      <c r="AE11" s="106">
        <f t="shared" si="5"/>
        <v>141521.98360655736</v>
      </c>
      <c r="AF11" s="106">
        <f aca="true" t="shared" si="14" ref="AF11:AF42">AC11-AD11-AE11</f>
        <v>62732.81639344263</v>
      </c>
      <c r="AG11" s="106">
        <f t="shared" si="6"/>
        <v>6273.281639344263</v>
      </c>
      <c r="AH11" s="106">
        <f t="shared" si="7"/>
        <v>14583.753729344262</v>
      </c>
      <c r="AI11" s="107">
        <f>IF((Y11-IF(Z11&gt;0,Z11,0)-IF(AA11&gt;0,AA11,0)-IF(AB11&gt;0,AB11,0))/(AC11-AD11-AE11)&gt;0,(Y11-IF(Z11&gt;0,Z11,0)-IF(AA11&gt;0,AA11,0)-IF(AB11&gt;0,AB11,0))/(AC11-AD11-AE11),0)</f>
        <v>0</v>
      </c>
      <c r="AJ11" s="112"/>
      <c r="AK11" s="108">
        <f>IF(AI11&lt;=0.05,1.5,0)</f>
        <v>1.5</v>
      </c>
      <c r="AL11" s="101">
        <f t="shared" si="8"/>
        <v>1.5</v>
      </c>
      <c r="AM11" s="109">
        <v>26067</v>
      </c>
      <c r="AN11" s="100">
        <v>26067</v>
      </c>
      <c r="AO11" s="119">
        <f t="shared" si="9"/>
        <v>1</v>
      </c>
      <c r="AP11" s="112"/>
      <c r="AQ11" s="108">
        <f>IF(AO11&lt;=1,1,0)</f>
        <v>1</v>
      </c>
      <c r="AR11" s="110">
        <f aca="true" t="shared" si="15" ref="AR11:AR42">AP11+AQ11</f>
        <v>1</v>
      </c>
      <c r="AS11" s="109">
        <v>62770.5</v>
      </c>
      <c r="AT11" s="100">
        <v>64041</v>
      </c>
      <c r="AU11" s="107">
        <f t="shared" si="10"/>
        <v>0.9801611467653535</v>
      </c>
      <c r="AV11" s="112"/>
      <c r="AW11" s="108">
        <f>IF(AU11&lt;=1,1,0)</f>
        <v>1</v>
      </c>
      <c r="AX11" s="110">
        <f t="shared" si="11"/>
        <v>1</v>
      </c>
      <c r="AY11" s="111">
        <f aca="true" t="shared" si="16" ref="AY11:AY42">H11+Q11+X11+AL11+AR11+AX11</f>
        <v>6.5</v>
      </c>
      <c r="AZ11" s="115"/>
      <c r="BA11" s="94"/>
      <c r="BC11" s="85"/>
      <c r="BE11" s="87"/>
      <c r="BF11" s="87"/>
      <c r="BG11" s="87"/>
      <c r="BJ11" s="85"/>
      <c r="BL11" s="87"/>
      <c r="BM11" s="87"/>
      <c r="BN11" s="87"/>
    </row>
    <row r="12" spans="1:66" ht="12.75">
      <c r="A12" s="62" t="s">
        <v>2</v>
      </c>
      <c r="B12" s="37">
        <v>82000</v>
      </c>
      <c r="C12" s="37">
        <v>9404.62001</v>
      </c>
      <c r="D12" s="37">
        <v>82000</v>
      </c>
      <c r="E12" s="52">
        <f t="shared" si="12"/>
        <v>0.8971100146910397</v>
      </c>
      <c r="F12" s="36">
        <f aca="true" t="shared" si="17" ref="F12:F17">IF(E12&lt;=1.05,1,0)</f>
        <v>1</v>
      </c>
      <c r="G12" s="8"/>
      <c r="H12" s="30">
        <f t="shared" si="0"/>
        <v>1</v>
      </c>
      <c r="I12" s="69">
        <v>82000</v>
      </c>
      <c r="J12" s="74">
        <v>835685.85313</v>
      </c>
      <c r="K12" s="95">
        <v>498126.58913</v>
      </c>
      <c r="L12" s="69">
        <v>132662.48766666665</v>
      </c>
      <c r="M12" s="69">
        <v>0</v>
      </c>
      <c r="N12" s="52">
        <f aca="true" t="shared" si="18" ref="N12:N41">(I12-M12)/(J12-K12-L12)</f>
        <v>0.4002015135006297</v>
      </c>
      <c r="O12" s="7">
        <f t="shared" si="1"/>
        <v>1</v>
      </c>
      <c r="P12" s="8"/>
      <c r="Q12" s="30">
        <f t="shared" si="2"/>
        <v>1</v>
      </c>
      <c r="R12" s="34">
        <v>9876</v>
      </c>
      <c r="S12" s="37">
        <v>845090.47314</v>
      </c>
      <c r="T12" s="53">
        <v>386649.34140000003</v>
      </c>
      <c r="U12" s="52">
        <f t="shared" si="3"/>
        <v>0.021542569626150098</v>
      </c>
      <c r="V12" s="7">
        <f t="shared" si="4"/>
        <v>1</v>
      </c>
      <c r="W12" s="8"/>
      <c r="X12" s="30">
        <f t="shared" si="13"/>
        <v>1</v>
      </c>
      <c r="Y12" s="37">
        <v>-9404.62001</v>
      </c>
      <c r="Z12" s="35">
        <v>0</v>
      </c>
      <c r="AA12" s="35">
        <v>9404.62001</v>
      </c>
      <c r="AB12" s="54">
        <v>0</v>
      </c>
      <c r="AC12" s="54">
        <f t="shared" si="5"/>
        <v>835685.85313</v>
      </c>
      <c r="AD12" s="54">
        <f t="shared" si="5"/>
        <v>498126.58913</v>
      </c>
      <c r="AE12" s="54">
        <f t="shared" si="5"/>
        <v>132662.48766666665</v>
      </c>
      <c r="AF12" s="54">
        <f t="shared" si="14"/>
        <v>204896.7763333333</v>
      </c>
      <c r="AG12" s="54">
        <f t="shared" si="6"/>
        <v>20489.677633333333</v>
      </c>
      <c r="AH12" s="54">
        <f t="shared" si="7"/>
        <v>29894.29764333333</v>
      </c>
      <c r="AI12" s="76">
        <f>IF((Y12-IF(Z12&gt;0,Z12,0)-IF(AA12&gt;0,AA12,0)-IF(AB12&gt;0,AB12,0))/(AC12-AD12-AE12)&gt;0,(Y12-IF(Z12&gt;0,Z12,0)-IF(AA12&gt;0,AA12,0)-IF(AB12&gt;0,AB12,0))/(AC12-AD12-AE12),0)</f>
        <v>0</v>
      </c>
      <c r="AJ12" s="33">
        <f aca="true" t="shared" si="19" ref="AJ12:AJ17">IF(AI12&lt;=0.1,1.5,0)</f>
        <v>1.5</v>
      </c>
      <c r="AK12" s="8"/>
      <c r="AL12" s="30">
        <f t="shared" si="8"/>
        <v>1.5</v>
      </c>
      <c r="AM12" s="57">
        <v>29783.2</v>
      </c>
      <c r="AN12" s="55">
        <v>29784</v>
      </c>
      <c r="AO12" s="118">
        <f t="shared" si="9"/>
        <v>0.9999731399409079</v>
      </c>
      <c r="AP12" s="32">
        <f aca="true" t="shared" si="20" ref="AP12:AP17">IF(AO12&lt;=1,1,0)</f>
        <v>1</v>
      </c>
      <c r="AQ12" s="8"/>
      <c r="AR12" s="58">
        <f t="shared" si="15"/>
        <v>1</v>
      </c>
      <c r="AS12" s="57">
        <v>58541.6</v>
      </c>
      <c r="AT12" s="55">
        <v>65390</v>
      </c>
      <c r="AU12" s="76">
        <f t="shared" si="10"/>
        <v>0.8952683896620278</v>
      </c>
      <c r="AV12" s="32">
        <f aca="true" t="shared" si="21" ref="AV12:AV17">IF(AU12&lt;=1,1,0)</f>
        <v>1</v>
      </c>
      <c r="AW12" s="8"/>
      <c r="AX12" s="58">
        <f t="shared" si="11"/>
        <v>1</v>
      </c>
      <c r="AY12" s="81">
        <f t="shared" si="16"/>
        <v>6.5</v>
      </c>
      <c r="AZ12" s="115"/>
      <c r="BA12" s="94"/>
      <c r="BC12" s="85"/>
      <c r="BE12" s="87"/>
      <c r="BF12" s="87"/>
      <c r="BG12" s="87"/>
      <c r="BJ12" s="85"/>
      <c r="BL12" s="87"/>
      <c r="BM12" s="87"/>
      <c r="BN12" s="87"/>
    </row>
    <row r="13" spans="1:66" ht="12.75">
      <c r="A13" s="62" t="s">
        <v>3</v>
      </c>
      <c r="B13" s="37">
        <v>35000</v>
      </c>
      <c r="C13" s="37">
        <v>22200</v>
      </c>
      <c r="D13" s="37">
        <v>35000</v>
      </c>
      <c r="E13" s="52">
        <f t="shared" si="12"/>
        <v>0.6118881118881119</v>
      </c>
      <c r="F13" s="7">
        <f t="shared" si="17"/>
        <v>1</v>
      </c>
      <c r="G13" s="8"/>
      <c r="H13" s="30">
        <f t="shared" si="0"/>
        <v>1</v>
      </c>
      <c r="I13" s="69">
        <v>5000</v>
      </c>
      <c r="J13" s="74">
        <v>523110.1826</v>
      </c>
      <c r="K13" s="95">
        <v>263344.1826</v>
      </c>
      <c r="L13" s="69">
        <v>81689.312875</v>
      </c>
      <c r="M13" s="69">
        <v>0</v>
      </c>
      <c r="N13" s="52">
        <f t="shared" si="18"/>
        <v>0.028077790982770676</v>
      </c>
      <c r="O13" s="7">
        <f t="shared" si="1"/>
        <v>1</v>
      </c>
      <c r="P13" s="8"/>
      <c r="Q13" s="30">
        <f t="shared" si="2"/>
        <v>1</v>
      </c>
      <c r="R13" s="34">
        <v>4487.348</v>
      </c>
      <c r="S13" s="37">
        <v>545310.1826000001</v>
      </c>
      <c r="T13" s="53">
        <v>215220.24980000002</v>
      </c>
      <c r="U13" s="52">
        <f t="shared" si="3"/>
        <v>0.013594319469048646</v>
      </c>
      <c r="V13" s="7">
        <f t="shared" si="4"/>
        <v>1</v>
      </c>
      <c r="W13" s="8"/>
      <c r="X13" s="30">
        <f t="shared" si="13"/>
        <v>1</v>
      </c>
      <c r="Y13" s="37">
        <v>-22200</v>
      </c>
      <c r="Z13" s="35">
        <v>0</v>
      </c>
      <c r="AA13" s="35">
        <v>22200</v>
      </c>
      <c r="AB13" s="54">
        <v>0</v>
      </c>
      <c r="AC13" s="54">
        <f t="shared" si="5"/>
        <v>523110.1826</v>
      </c>
      <c r="AD13" s="54">
        <f t="shared" si="5"/>
        <v>263344.1826</v>
      </c>
      <c r="AE13" s="54">
        <f t="shared" si="5"/>
        <v>81689.312875</v>
      </c>
      <c r="AF13" s="54">
        <f t="shared" si="14"/>
        <v>178076.687125</v>
      </c>
      <c r="AG13" s="54">
        <f t="shared" si="6"/>
        <v>17807.6687125</v>
      </c>
      <c r="AH13" s="54">
        <f t="shared" si="7"/>
        <v>40007.6687125</v>
      </c>
      <c r="AI13" s="76">
        <f>IF((Y13-IF(Z13&gt;0,Z13,0)-IF(AA13&gt;0,AA13,0)-IF(AB13&gt;0,AB13,0))/(AC13-AD13-AE13)&gt;0,(Y13-IF(Z13&gt;0,Z13,0)-IF(AA13&gt;0,AA13,0)-IF(AB13&gt;0,AB13,0))/(AC13-AD13-AE13),0)</f>
        <v>0</v>
      </c>
      <c r="AJ13" s="33">
        <f t="shared" si="19"/>
        <v>1.5</v>
      </c>
      <c r="AK13" s="8"/>
      <c r="AL13" s="30">
        <f t="shared" si="8"/>
        <v>1.5</v>
      </c>
      <c r="AM13" s="57">
        <v>16893.3</v>
      </c>
      <c r="AN13" s="55">
        <v>17052</v>
      </c>
      <c r="AO13" s="120">
        <f t="shared" si="9"/>
        <v>0.9906931738212525</v>
      </c>
      <c r="AP13" s="32">
        <f t="shared" si="20"/>
        <v>1</v>
      </c>
      <c r="AQ13" s="8"/>
      <c r="AR13" s="58">
        <f t="shared" si="15"/>
        <v>1</v>
      </c>
      <c r="AS13" s="57">
        <v>33342.1</v>
      </c>
      <c r="AT13" s="55">
        <v>39198</v>
      </c>
      <c r="AU13" s="77">
        <f t="shared" si="10"/>
        <v>0.8506071738353997</v>
      </c>
      <c r="AV13" s="32">
        <f t="shared" si="21"/>
        <v>1</v>
      </c>
      <c r="AW13" s="8"/>
      <c r="AX13" s="58">
        <f t="shared" si="11"/>
        <v>1</v>
      </c>
      <c r="AY13" s="81">
        <f t="shared" si="16"/>
        <v>6.5</v>
      </c>
      <c r="AZ13" s="115"/>
      <c r="BA13" s="94"/>
      <c r="BC13" s="85"/>
      <c r="BE13" s="87"/>
      <c r="BF13" s="87"/>
      <c r="BG13" s="87"/>
      <c r="BJ13" s="85"/>
      <c r="BL13" s="87"/>
      <c r="BM13" s="87"/>
      <c r="BN13" s="87"/>
    </row>
    <row r="14" spans="1:67" s="84" customFormat="1" ht="12.75">
      <c r="A14" s="60" t="s">
        <v>4</v>
      </c>
      <c r="B14" s="37">
        <v>7000</v>
      </c>
      <c r="C14" s="37">
        <v>7787.7605</v>
      </c>
      <c r="D14" s="37">
        <v>3500</v>
      </c>
      <c r="E14" s="61">
        <f t="shared" si="12"/>
        <v>0.6201407267632937</v>
      </c>
      <c r="F14" s="7">
        <f t="shared" si="17"/>
        <v>1</v>
      </c>
      <c r="G14" s="55"/>
      <c r="H14" s="56">
        <f t="shared" si="0"/>
        <v>1</v>
      </c>
      <c r="I14" s="37">
        <v>0</v>
      </c>
      <c r="J14" s="74">
        <v>240682.63434</v>
      </c>
      <c r="K14" s="95">
        <v>141039.40434</v>
      </c>
      <c r="L14" s="37">
        <v>33312.475</v>
      </c>
      <c r="M14" s="37">
        <v>0</v>
      </c>
      <c r="N14" s="61">
        <f t="shared" si="18"/>
        <v>0</v>
      </c>
      <c r="O14" s="7">
        <f t="shared" si="1"/>
        <v>1</v>
      </c>
      <c r="P14" s="55"/>
      <c r="Q14" s="56">
        <f t="shared" si="2"/>
        <v>1</v>
      </c>
      <c r="R14" s="34">
        <v>481.586</v>
      </c>
      <c r="S14" s="37">
        <v>248470.39484</v>
      </c>
      <c r="T14" s="53">
        <v>100964.0183</v>
      </c>
      <c r="U14" s="61">
        <f t="shared" si="3"/>
        <v>0.003264848688554193</v>
      </c>
      <c r="V14" s="7">
        <f t="shared" si="4"/>
        <v>1</v>
      </c>
      <c r="W14" s="55"/>
      <c r="X14" s="56">
        <f t="shared" si="13"/>
        <v>1</v>
      </c>
      <c r="Y14" s="37">
        <v>-7787.7605</v>
      </c>
      <c r="Z14" s="35">
        <v>0</v>
      </c>
      <c r="AA14" s="35">
        <v>4287.7605</v>
      </c>
      <c r="AB14" s="35">
        <v>0</v>
      </c>
      <c r="AC14" s="35">
        <f t="shared" si="5"/>
        <v>240682.63434</v>
      </c>
      <c r="AD14" s="35">
        <f t="shared" si="5"/>
        <v>141039.40434</v>
      </c>
      <c r="AE14" s="35">
        <f t="shared" si="5"/>
        <v>33312.475</v>
      </c>
      <c r="AF14" s="35">
        <f t="shared" si="14"/>
        <v>66330.75499999998</v>
      </c>
      <c r="AG14" s="54">
        <f>AF14*5%</f>
        <v>3316.537749999999</v>
      </c>
      <c r="AH14" s="35">
        <f t="shared" si="7"/>
        <v>7604.29825</v>
      </c>
      <c r="AI14" s="77">
        <f>IF((Y14-IF(Z14&gt;0,Z14,0)-IF(AA14&gt;0,AA14,0)-IF(AB14&gt;0,AB14,0))/(AC14-AD14-AE14)&gt;0,(Y14-IF(Z14&gt;0,Z14,0)-IF(AA14&gt;0,AA14,0)-IF(AB14&gt;0,AB14,0))/(AC14-AD14-AE14),0)</f>
        <v>0</v>
      </c>
      <c r="AJ14" s="33">
        <f t="shared" si="19"/>
        <v>1.5</v>
      </c>
      <c r="AK14" s="79"/>
      <c r="AL14" s="56">
        <f t="shared" si="8"/>
        <v>1.5</v>
      </c>
      <c r="AM14" s="57">
        <v>9094</v>
      </c>
      <c r="AN14" s="55">
        <v>9094</v>
      </c>
      <c r="AO14" s="120">
        <f t="shared" si="9"/>
        <v>1</v>
      </c>
      <c r="AP14" s="32">
        <f t="shared" si="20"/>
        <v>1</v>
      </c>
      <c r="AQ14" s="79"/>
      <c r="AR14" s="80">
        <f t="shared" si="15"/>
        <v>1</v>
      </c>
      <c r="AS14" s="57">
        <v>21893.7</v>
      </c>
      <c r="AT14" s="55">
        <v>22028</v>
      </c>
      <c r="AU14" s="77">
        <f t="shared" si="10"/>
        <v>0.9939032140911568</v>
      </c>
      <c r="AV14" s="32">
        <f t="shared" si="21"/>
        <v>1</v>
      </c>
      <c r="AW14" s="79"/>
      <c r="AX14" s="80">
        <f t="shared" si="11"/>
        <v>1</v>
      </c>
      <c r="AY14" s="81">
        <f t="shared" si="16"/>
        <v>6.5</v>
      </c>
      <c r="AZ14" s="115"/>
      <c r="BA14" s="94"/>
      <c r="BB14" s="71"/>
      <c r="BC14" s="85"/>
      <c r="BD14" s="71"/>
      <c r="BE14" s="87"/>
      <c r="BF14" s="87"/>
      <c r="BG14" s="87"/>
      <c r="BH14" s="71"/>
      <c r="BJ14" s="85"/>
      <c r="BK14" s="71"/>
      <c r="BL14" s="87"/>
      <c r="BM14" s="87"/>
      <c r="BN14" s="87"/>
      <c r="BO14" s="71"/>
    </row>
    <row r="15" spans="1:67" s="84" customFormat="1" ht="12.75">
      <c r="A15" s="96" t="s">
        <v>5</v>
      </c>
      <c r="B15" s="97">
        <v>2068.6</v>
      </c>
      <c r="C15" s="97">
        <v>3072.83635</v>
      </c>
      <c r="D15" s="97">
        <v>0</v>
      </c>
      <c r="E15" s="98">
        <f t="shared" si="12"/>
        <v>0.6731891205335422</v>
      </c>
      <c r="F15" s="99"/>
      <c r="G15" s="100">
        <f>IF(E15&lt;=1.05,1,0)</f>
        <v>1</v>
      </c>
      <c r="H15" s="101">
        <f t="shared" si="0"/>
        <v>1</v>
      </c>
      <c r="I15" s="97">
        <v>0</v>
      </c>
      <c r="J15" s="102">
        <v>249489.824</v>
      </c>
      <c r="K15" s="103">
        <v>178623.924</v>
      </c>
      <c r="L15" s="97">
        <v>47452.06779661017</v>
      </c>
      <c r="M15" s="97">
        <v>0</v>
      </c>
      <c r="N15" s="98">
        <f t="shared" si="18"/>
        <v>0</v>
      </c>
      <c r="O15" s="99"/>
      <c r="P15" s="100">
        <f>IF(N15&lt;=0.5,1,0)</f>
        <v>1</v>
      </c>
      <c r="Q15" s="101">
        <f t="shared" si="2"/>
        <v>1</v>
      </c>
      <c r="R15" s="104">
        <v>82.97</v>
      </c>
      <c r="S15" s="97">
        <v>252562.66035</v>
      </c>
      <c r="T15" s="105">
        <v>124196.237</v>
      </c>
      <c r="U15" s="98">
        <f t="shared" si="3"/>
        <v>0.000646352822137737</v>
      </c>
      <c r="V15" s="99"/>
      <c r="W15" s="100">
        <f>IF(U15&lt;=0.15,1,0)</f>
        <v>1</v>
      </c>
      <c r="X15" s="101">
        <f t="shared" si="13"/>
        <v>1</v>
      </c>
      <c r="Y15" s="97">
        <v>-3072.83635</v>
      </c>
      <c r="Z15" s="106">
        <v>0</v>
      </c>
      <c r="AA15" s="106">
        <v>945.00391</v>
      </c>
      <c r="AB15" s="106">
        <v>0</v>
      </c>
      <c r="AC15" s="106">
        <f t="shared" si="5"/>
        <v>249489.824</v>
      </c>
      <c r="AD15" s="106">
        <f t="shared" si="5"/>
        <v>178623.924</v>
      </c>
      <c r="AE15" s="106">
        <f t="shared" si="5"/>
        <v>47452.06779661017</v>
      </c>
      <c r="AF15" s="106">
        <f t="shared" si="14"/>
        <v>23413.832203389822</v>
      </c>
      <c r="AG15" s="106">
        <f>AF15*5%</f>
        <v>1170.6916101694912</v>
      </c>
      <c r="AH15" s="106">
        <f t="shared" si="7"/>
        <v>2115.6955201694914</v>
      </c>
      <c r="AI15" s="107">
        <f aca="true" t="shared" si="22" ref="AI15:AI42">IF((Y15-IF(Z15&gt;0,Z15,0)-IF(AA15&gt;0,AA15,0)-IF(AB15&gt;0,AB15,0))/(AC15-AD15-AE15)&gt;0,(Y15-IF(Z15&gt;0,Z15,0)-IF(AA15&gt;0,AA15,0)-IF(AB15&gt;0,AB15,0))/(AC15-AD15-AE15),0)</f>
        <v>0</v>
      </c>
      <c r="AJ15" s="112"/>
      <c r="AK15" s="108">
        <f>IF(AI15&lt;=0.05,1.5,0)</f>
        <v>1.5</v>
      </c>
      <c r="AL15" s="101">
        <f t="shared" si="8"/>
        <v>1.5</v>
      </c>
      <c r="AM15" s="109">
        <v>10993.6</v>
      </c>
      <c r="AN15" s="100">
        <v>11794</v>
      </c>
      <c r="AO15" s="119">
        <f t="shared" si="9"/>
        <v>0.9321349838901136</v>
      </c>
      <c r="AP15" s="112"/>
      <c r="AQ15" s="108">
        <f>IF(AO15&lt;=1,1,0)</f>
        <v>1</v>
      </c>
      <c r="AR15" s="110">
        <f t="shared" si="15"/>
        <v>1</v>
      </c>
      <c r="AS15" s="109">
        <v>27593.4</v>
      </c>
      <c r="AT15" s="100">
        <v>29118</v>
      </c>
      <c r="AU15" s="107">
        <f t="shared" si="10"/>
        <v>0.9476406346589739</v>
      </c>
      <c r="AV15" s="112"/>
      <c r="AW15" s="108">
        <f>IF(AU15&lt;=1,1,0)</f>
        <v>1</v>
      </c>
      <c r="AX15" s="110">
        <f t="shared" si="11"/>
        <v>1</v>
      </c>
      <c r="AY15" s="111">
        <f t="shared" si="16"/>
        <v>6.5</v>
      </c>
      <c r="AZ15" s="115"/>
      <c r="BA15" s="94"/>
      <c r="BB15" s="71"/>
      <c r="BC15" s="85"/>
      <c r="BD15" s="71"/>
      <c r="BE15" s="87"/>
      <c r="BF15" s="87"/>
      <c r="BG15" s="87"/>
      <c r="BH15" s="71"/>
      <c r="BJ15" s="85"/>
      <c r="BK15" s="71"/>
      <c r="BL15" s="87"/>
      <c r="BM15" s="87"/>
      <c r="BN15" s="87"/>
      <c r="BO15" s="71"/>
    </row>
    <row r="16" spans="1:67" s="84" customFormat="1" ht="12.75">
      <c r="A16" s="60" t="s">
        <v>6</v>
      </c>
      <c r="B16" s="37">
        <v>56203.638</v>
      </c>
      <c r="C16" s="37">
        <v>15314.64917</v>
      </c>
      <c r="D16" s="37">
        <v>62764.5</v>
      </c>
      <c r="E16" s="61">
        <f t="shared" si="12"/>
        <v>0.7198290273070095</v>
      </c>
      <c r="F16" s="7">
        <f t="shared" si="17"/>
        <v>1</v>
      </c>
      <c r="G16" s="55"/>
      <c r="H16" s="56">
        <f t="shared" si="0"/>
        <v>1</v>
      </c>
      <c r="I16" s="37">
        <v>76229</v>
      </c>
      <c r="J16" s="74">
        <v>1145452.8627</v>
      </c>
      <c r="K16" s="95">
        <v>847876.7627000001</v>
      </c>
      <c r="L16" s="37">
        <v>157929.099625</v>
      </c>
      <c r="M16" s="37">
        <v>26929</v>
      </c>
      <c r="N16" s="61">
        <f t="shared" si="18"/>
        <v>0.35303300369941837</v>
      </c>
      <c r="O16" s="7">
        <f t="shared" si="1"/>
        <v>1</v>
      </c>
      <c r="P16" s="55"/>
      <c r="Q16" s="56">
        <f t="shared" si="2"/>
        <v>1</v>
      </c>
      <c r="R16" s="34">
        <v>3806.169</v>
      </c>
      <c r="S16" s="37">
        <v>1160767.5118699998</v>
      </c>
      <c r="T16" s="53">
        <v>456792.1877</v>
      </c>
      <c r="U16" s="61">
        <f t="shared" si="3"/>
        <v>0.005406679565775328</v>
      </c>
      <c r="V16" s="7">
        <f t="shared" si="4"/>
        <v>1</v>
      </c>
      <c r="W16" s="55"/>
      <c r="X16" s="56">
        <f t="shared" si="13"/>
        <v>1</v>
      </c>
      <c r="Y16" s="37">
        <v>-15314.64917</v>
      </c>
      <c r="Z16" s="35">
        <v>0</v>
      </c>
      <c r="AA16" s="35">
        <v>21875.51117</v>
      </c>
      <c r="AB16" s="35">
        <v>13464.5</v>
      </c>
      <c r="AC16" s="35">
        <f t="shared" si="5"/>
        <v>1145452.8627</v>
      </c>
      <c r="AD16" s="35">
        <f t="shared" si="5"/>
        <v>847876.7627000001</v>
      </c>
      <c r="AE16" s="35">
        <f t="shared" si="5"/>
        <v>157929.099625</v>
      </c>
      <c r="AF16" s="35">
        <f t="shared" si="14"/>
        <v>139647.00037499986</v>
      </c>
      <c r="AG16" s="54">
        <f t="shared" si="6"/>
        <v>13964.700037499986</v>
      </c>
      <c r="AH16" s="35">
        <f>IF(AA16&gt;0,AA16,0)+AG16+IF(AB16&gt;0,AB16,0)</f>
        <v>49304.71120749999</v>
      </c>
      <c r="AI16" s="77">
        <f>IF((Y16-IF(Z16&gt;0,Z16,0)-IF(AA16&gt;0,AA16,0)-IF(AB16&gt;0,AB16,0))/(AC16-AD16-AE16)&gt;0,(Y16-IF(Z16&gt;0,Z16,0)-IF(AA16&gt;0,AA16,0)-IF(AB16&gt;0,AB16,0))/(AC16-AD16-AE16),0)</f>
        <v>0</v>
      </c>
      <c r="AJ16" s="33">
        <f t="shared" si="19"/>
        <v>1.5</v>
      </c>
      <c r="AK16" s="55"/>
      <c r="AL16" s="56">
        <f t="shared" si="8"/>
        <v>1.5</v>
      </c>
      <c r="AM16" s="57">
        <v>23610</v>
      </c>
      <c r="AN16" s="55">
        <v>26067</v>
      </c>
      <c r="AO16" s="120">
        <f t="shared" si="9"/>
        <v>0.9057428933133848</v>
      </c>
      <c r="AP16" s="32">
        <f t="shared" si="20"/>
        <v>1</v>
      </c>
      <c r="AQ16" s="55"/>
      <c r="AR16" s="80">
        <f t="shared" si="15"/>
        <v>1</v>
      </c>
      <c r="AS16" s="57">
        <v>63190.2</v>
      </c>
      <c r="AT16" s="55">
        <v>64041</v>
      </c>
      <c r="AU16" s="77">
        <f t="shared" si="10"/>
        <v>0.9867147608563264</v>
      </c>
      <c r="AV16" s="32">
        <f t="shared" si="21"/>
        <v>1</v>
      </c>
      <c r="AW16" s="55"/>
      <c r="AX16" s="80">
        <f t="shared" si="11"/>
        <v>1</v>
      </c>
      <c r="AY16" s="81">
        <f t="shared" si="16"/>
        <v>6.5</v>
      </c>
      <c r="AZ16" s="115"/>
      <c r="BA16" s="94"/>
      <c r="BB16" s="71"/>
      <c r="BC16" s="85"/>
      <c r="BD16" s="71"/>
      <c r="BE16" s="87"/>
      <c r="BF16" s="87"/>
      <c r="BG16" s="87"/>
      <c r="BH16" s="71"/>
      <c r="BJ16" s="85"/>
      <c r="BK16" s="71"/>
      <c r="BL16" s="87"/>
      <c r="BM16" s="87"/>
      <c r="BN16" s="87"/>
      <c r="BO16" s="71"/>
    </row>
    <row r="17" spans="1:67" s="84" customFormat="1" ht="12.75">
      <c r="A17" s="60" t="s">
        <v>7</v>
      </c>
      <c r="B17" s="37">
        <v>0</v>
      </c>
      <c r="C17" s="37">
        <v>0</v>
      </c>
      <c r="D17" s="37">
        <v>0</v>
      </c>
      <c r="E17" s="61">
        <f t="shared" si="12"/>
        <v>0</v>
      </c>
      <c r="F17" s="7">
        <f t="shared" si="17"/>
        <v>1</v>
      </c>
      <c r="G17" s="55"/>
      <c r="H17" s="56">
        <f t="shared" si="0"/>
        <v>1</v>
      </c>
      <c r="I17" s="37">
        <v>0</v>
      </c>
      <c r="J17" s="74">
        <v>263822.2821</v>
      </c>
      <c r="K17" s="95">
        <v>166855.0821</v>
      </c>
      <c r="L17" s="37">
        <v>33706.3125</v>
      </c>
      <c r="M17" s="37">
        <v>0</v>
      </c>
      <c r="N17" s="61">
        <f t="shared" si="18"/>
        <v>0</v>
      </c>
      <c r="O17" s="7">
        <f>IF(N17&lt;=1,1,0)</f>
        <v>1</v>
      </c>
      <c r="P17" s="55"/>
      <c r="Q17" s="56">
        <f>O17+P17</f>
        <v>1</v>
      </c>
      <c r="R17" s="34">
        <v>0</v>
      </c>
      <c r="S17" s="37">
        <v>263822.2821</v>
      </c>
      <c r="T17" s="53">
        <v>132938.6091</v>
      </c>
      <c r="U17" s="61">
        <f t="shared" si="3"/>
        <v>0</v>
      </c>
      <c r="V17" s="7">
        <f>IF(U17&lt;=0.15,1,0)</f>
        <v>1</v>
      </c>
      <c r="W17" s="55"/>
      <c r="X17" s="56">
        <f t="shared" si="13"/>
        <v>1</v>
      </c>
      <c r="Y17" s="37">
        <v>0</v>
      </c>
      <c r="Z17" s="35">
        <v>0</v>
      </c>
      <c r="AA17" s="35">
        <v>0</v>
      </c>
      <c r="AB17" s="35">
        <v>0</v>
      </c>
      <c r="AC17" s="35">
        <f t="shared" si="5"/>
        <v>263822.2821</v>
      </c>
      <c r="AD17" s="35">
        <f t="shared" si="5"/>
        <v>166855.0821</v>
      </c>
      <c r="AE17" s="35">
        <f t="shared" si="5"/>
        <v>33706.3125</v>
      </c>
      <c r="AF17" s="35">
        <f t="shared" si="14"/>
        <v>63260.88750000001</v>
      </c>
      <c r="AG17" s="54">
        <f t="shared" si="6"/>
        <v>6326.088750000002</v>
      </c>
      <c r="AH17" s="35">
        <f aca="true" t="shared" si="23" ref="AH17:AH42">IF(AA17&gt;0,AA17,0)+AG17+IF(AB17&gt;0,AB17,0)</f>
        <v>6326.088750000002</v>
      </c>
      <c r="AI17" s="77">
        <f t="shared" si="22"/>
        <v>0</v>
      </c>
      <c r="AJ17" s="33">
        <f t="shared" si="19"/>
        <v>1.5</v>
      </c>
      <c r="AK17" s="55"/>
      <c r="AL17" s="56">
        <f t="shared" si="8"/>
        <v>1.5</v>
      </c>
      <c r="AM17" s="57">
        <v>10308.5</v>
      </c>
      <c r="AN17" s="55">
        <v>11047</v>
      </c>
      <c r="AO17" s="120">
        <f t="shared" si="9"/>
        <v>0.9331492712953743</v>
      </c>
      <c r="AP17" s="32">
        <f t="shared" si="20"/>
        <v>1</v>
      </c>
      <c r="AQ17" s="55"/>
      <c r="AR17" s="80">
        <f>AP17+AQ17</f>
        <v>1</v>
      </c>
      <c r="AS17" s="57">
        <v>25660.4</v>
      </c>
      <c r="AT17" s="55">
        <v>26142</v>
      </c>
      <c r="AU17" s="77">
        <f t="shared" si="10"/>
        <v>0.9815775380613573</v>
      </c>
      <c r="AV17" s="32">
        <f t="shared" si="21"/>
        <v>1</v>
      </c>
      <c r="AW17" s="55"/>
      <c r="AX17" s="80">
        <f t="shared" si="11"/>
        <v>1</v>
      </c>
      <c r="AY17" s="81">
        <f t="shared" si="16"/>
        <v>6.5</v>
      </c>
      <c r="AZ17" s="115"/>
      <c r="BA17" s="94"/>
      <c r="BB17" s="71"/>
      <c r="BC17" s="85"/>
      <c r="BD17" s="71"/>
      <c r="BE17" s="87"/>
      <c r="BF17" s="87"/>
      <c r="BG17" s="87"/>
      <c r="BH17" s="71"/>
      <c r="BJ17" s="85"/>
      <c r="BK17" s="71"/>
      <c r="BL17" s="87"/>
      <c r="BM17" s="87"/>
      <c r="BN17" s="87"/>
      <c r="BO17" s="71"/>
    </row>
    <row r="18" spans="1:67" s="84" customFormat="1" ht="12.75">
      <c r="A18" s="96" t="s">
        <v>8</v>
      </c>
      <c r="B18" s="97">
        <v>0</v>
      </c>
      <c r="C18" s="97">
        <v>1253.52</v>
      </c>
      <c r="D18" s="97">
        <v>0</v>
      </c>
      <c r="E18" s="98">
        <f t="shared" si="12"/>
        <v>0</v>
      </c>
      <c r="F18" s="99"/>
      <c r="G18" s="100">
        <f aca="true" t="shared" si="24" ref="G18:G23">IF(E18&lt;=1.05,1,0)</f>
        <v>1</v>
      </c>
      <c r="H18" s="101">
        <f t="shared" si="0"/>
        <v>1</v>
      </c>
      <c r="I18" s="97">
        <v>0</v>
      </c>
      <c r="J18" s="102">
        <v>174177.16895</v>
      </c>
      <c r="K18" s="103">
        <v>144879.96094999998</v>
      </c>
      <c r="L18" s="97">
        <v>15379.359999999999</v>
      </c>
      <c r="M18" s="97">
        <v>0</v>
      </c>
      <c r="N18" s="98">
        <f t="shared" si="18"/>
        <v>0</v>
      </c>
      <c r="O18" s="99"/>
      <c r="P18" s="100">
        <f aca="true" t="shared" si="25" ref="P18:P23">IF(N18&lt;=0.5,1,0)</f>
        <v>1</v>
      </c>
      <c r="Q18" s="101">
        <f t="shared" si="2"/>
        <v>1</v>
      </c>
      <c r="R18" s="104">
        <v>0</v>
      </c>
      <c r="S18" s="97">
        <v>175430.68894999998</v>
      </c>
      <c r="T18" s="105">
        <v>83833.81695000001</v>
      </c>
      <c r="U18" s="98">
        <f t="shared" si="3"/>
        <v>0</v>
      </c>
      <c r="V18" s="99"/>
      <c r="W18" s="100">
        <f aca="true" t="shared" si="26" ref="W18:W23">IF(U18&lt;=0.15,1,0)</f>
        <v>1</v>
      </c>
      <c r="X18" s="101">
        <f t="shared" si="13"/>
        <v>1</v>
      </c>
      <c r="Y18" s="97">
        <v>-1253.52</v>
      </c>
      <c r="Z18" s="106">
        <v>0</v>
      </c>
      <c r="AA18" s="106">
        <v>1253.52</v>
      </c>
      <c r="AB18" s="106">
        <v>0</v>
      </c>
      <c r="AC18" s="106">
        <f t="shared" si="5"/>
        <v>174177.16895</v>
      </c>
      <c r="AD18" s="106">
        <f t="shared" si="5"/>
        <v>144879.96094999998</v>
      </c>
      <c r="AE18" s="106">
        <f t="shared" si="5"/>
        <v>15379.359999999999</v>
      </c>
      <c r="AF18" s="106">
        <f t="shared" si="14"/>
        <v>13917.848000000015</v>
      </c>
      <c r="AG18" s="106">
        <f>AF18*5%</f>
        <v>695.8924000000007</v>
      </c>
      <c r="AH18" s="106">
        <f t="shared" si="23"/>
        <v>1949.4124000000006</v>
      </c>
      <c r="AI18" s="107">
        <f t="shared" si="22"/>
        <v>0</v>
      </c>
      <c r="AJ18" s="99"/>
      <c r="AK18" s="108">
        <f>IF(AI18&lt;=0.05,1.5,0)</f>
        <v>1.5</v>
      </c>
      <c r="AL18" s="101">
        <f t="shared" si="8"/>
        <v>1.5</v>
      </c>
      <c r="AM18" s="109">
        <v>7026.9</v>
      </c>
      <c r="AN18" s="100">
        <v>10485</v>
      </c>
      <c r="AO18" s="119">
        <f t="shared" si="9"/>
        <v>0.6701859799713876</v>
      </c>
      <c r="AP18" s="99"/>
      <c r="AQ18" s="108">
        <f aca="true" t="shared" si="27" ref="AQ18:AQ34">IF(AO18&lt;=1,1,0)</f>
        <v>1</v>
      </c>
      <c r="AR18" s="110">
        <f t="shared" si="15"/>
        <v>1</v>
      </c>
      <c r="AS18" s="109">
        <v>19964.3</v>
      </c>
      <c r="AT18" s="100">
        <v>26192</v>
      </c>
      <c r="AU18" s="107">
        <f t="shared" si="10"/>
        <v>0.7622289248625534</v>
      </c>
      <c r="AV18" s="99"/>
      <c r="AW18" s="108">
        <f aca="true" t="shared" si="28" ref="AW18:AW34">IF(AU18&lt;=1,1,0)</f>
        <v>1</v>
      </c>
      <c r="AX18" s="110">
        <f t="shared" si="11"/>
        <v>1</v>
      </c>
      <c r="AY18" s="111">
        <f t="shared" si="16"/>
        <v>6.5</v>
      </c>
      <c r="AZ18" s="115"/>
      <c r="BA18" s="94"/>
      <c r="BB18" s="71"/>
      <c r="BC18" s="85"/>
      <c r="BD18" s="71"/>
      <c r="BE18" s="87"/>
      <c r="BF18" s="87"/>
      <c r="BG18" s="87"/>
      <c r="BH18" s="71"/>
      <c r="BJ18" s="85"/>
      <c r="BK18" s="71"/>
      <c r="BL18" s="87"/>
      <c r="BM18" s="87"/>
      <c r="BN18" s="87"/>
      <c r="BO18" s="71"/>
    </row>
    <row r="19" spans="1:67" s="84" customFormat="1" ht="12.75">
      <c r="A19" s="96" t="s">
        <v>9</v>
      </c>
      <c r="B19" s="97">
        <v>0</v>
      </c>
      <c r="C19" s="97">
        <v>1203.5413600000002</v>
      </c>
      <c r="D19" s="97">
        <v>0</v>
      </c>
      <c r="E19" s="98">
        <f t="shared" si="12"/>
        <v>0</v>
      </c>
      <c r="F19" s="99"/>
      <c r="G19" s="100">
        <f t="shared" si="24"/>
        <v>1</v>
      </c>
      <c r="H19" s="101">
        <f t="shared" si="0"/>
        <v>1</v>
      </c>
      <c r="I19" s="97">
        <v>0</v>
      </c>
      <c r="J19" s="102">
        <v>251004.37730000002</v>
      </c>
      <c r="K19" s="103">
        <v>182367.37730000002</v>
      </c>
      <c r="L19" s="97">
        <v>38622.5</v>
      </c>
      <c r="M19" s="97">
        <v>0</v>
      </c>
      <c r="N19" s="98">
        <f t="shared" si="18"/>
        <v>0</v>
      </c>
      <c r="O19" s="99"/>
      <c r="P19" s="100">
        <f t="shared" si="25"/>
        <v>1</v>
      </c>
      <c r="Q19" s="101">
        <f t="shared" si="2"/>
        <v>1</v>
      </c>
      <c r="R19" s="104">
        <v>0</v>
      </c>
      <c r="S19" s="97">
        <v>252207.91866</v>
      </c>
      <c r="T19" s="105">
        <v>117894.62930000002</v>
      </c>
      <c r="U19" s="98">
        <f t="shared" si="3"/>
        <v>0</v>
      </c>
      <c r="V19" s="99"/>
      <c r="W19" s="100">
        <f t="shared" si="26"/>
        <v>1</v>
      </c>
      <c r="X19" s="101">
        <f t="shared" si="13"/>
        <v>1</v>
      </c>
      <c r="Y19" s="97">
        <v>-1203.5413600000002</v>
      </c>
      <c r="Z19" s="106">
        <v>0</v>
      </c>
      <c r="AA19" s="106">
        <v>1203.5413600000002</v>
      </c>
      <c r="AB19" s="106">
        <v>0</v>
      </c>
      <c r="AC19" s="106">
        <f t="shared" si="5"/>
        <v>251004.37730000002</v>
      </c>
      <c r="AD19" s="106">
        <f t="shared" si="5"/>
        <v>182367.37730000002</v>
      </c>
      <c r="AE19" s="106">
        <f t="shared" si="5"/>
        <v>38622.5</v>
      </c>
      <c r="AF19" s="106">
        <f t="shared" si="14"/>
        <v>30014.5</v>
      </c>
      <c r="AG19" s="106">
        <f>AF19*10%</f>
        <v>3001.4500000000003</v>
      </c>
      <c r="AH19" s="106">
        <f t="shared" si="23"/>
        <v>4204.99136</v>
      </c>
      <c r="AI19" s="107">
        <f t="shared" si="22"/>
        <v>0</v>
      </c>
      <c r="AJ19" s="112"/>
      <c r="AK19" s="108">
        <f aca="true" t="shared" si="29" ref="AK19:AK34">IF(AI19&lt;=0.05,1.5,0)</f>
        <v>1.5</v>
      </c>
      <c r="AL19" s="101">
        <f t="shared" si="8"/>
        <v>1.5</v>
      </c>
      <c r="AM19" s="109">
        <v>9464.7</v>
      </c>
      <c r="AN19" s="100">
        <v>11794</v>
      </c>
      <c r="AO19" s="119">
        <f t="shared" si="9"/>
        <v>0.8025012718331356</v>
      </c>
      <c r="AP19" s="112"/>
      <c r="AQ19" s="108">
        <f t="shared" si="27"/>
        <v>1</v>
      </c>
      <c r="AR19" s="110">
        <f t="shared" si="15"/>
        <v>1</v>
      </c>
      <c r="AS19" s="109">
        <v>24538.8</v>
      </c>
      <c r="AT19" s="100">
        <v>29118</v>
      </c>
      <c r="AU19" s="107">
        <f t="shared" si="10"/>
        <v>0.8427364516793736</v>
      </c>
      <c r="AV19" s="112"/>
      <c r="AW19" s="108">
        <f t="shared" si="28"/>
        <v>1</v>
      </c>
      <c r="AX19" s="110">
        <f t="shared" si="11"/>
        <v>1</v>
      </c>
      <c r="AY19" s="111">
        <f t="shared" si="16"/>
        <v>6.5</v>
      </c>
      <c r="AZ19" s="115"/>
      <c r="BA19" s="94"/>
      <c r="BB19" s="71"/>
      <c r="BC19" s="85"/>
      <c r="BD19" s="71"/>
      <c r="BE19" s="87"/>
      <c r="BF19" s="87"/>
      <c r="BG19" s="87"/>
      <c r="BH19" s="71"/>
      <c r="BJ19" s="85"/>
      <c r="BK19" s="71"/>
      <c r="BL19" s="87"/>
      <c r="BM19" s="87"/>
      <c r="BN19" s="87"/>
      <c r="BO19" s="71"/>
    </row>
    <row r="20" spans="1:67" s="84" customFormat="1" ht="12.75">
      <c r="A20" s="96" t="s">
        <v>10</v>
      </c>
      <c r="B20" s="97">
        <v>0</v>
      </c>
      <c r="C20" s="97">
        <v>4127.29102</v>
      </c>
      <c r="D20" s="97">
        <v>0</v>
      </c>
      <c r="E20" s="98">
        <f t="shared" si="12"/>
        <v>0</v>
      </c>
      <c r="F20" s="99"/>
      <c r="G20" s="100">
        <f t="shared" si="24"/>
        <v>1</v>
      </c>
      <c r="H20" s="101">
        <f t="shared" si="0"/>
        <v>1</v>
      </c>
      <c r="I20" s="97">
        <v>0</v>
      </c>
      <c r="J20" s="102">
        <v>128308.17438</v>
      </c>
      <c r="K20" s="103">
        <v>89703.96638</v>
      </c>
      <c r="L20" s="97">
        <v>22668.437894736842</v>
      </c>
      <c r="M20" s="97">
        <v>0</v>
      </c>
      <c r="N20" s="98">
        <f t="shared" si="18"/>
        <v>0</v>
      </c>
      <c r="O20" s="99"/>
      <c r="P20" s="100">
        <f t="shared" si="25"/>
        <v>1</v>
      </c>
      <c r="Q20" s="101">
        <f t="shared" si="2"/>
        <v>1</v>
      </c>
      <c r="R20" s="104">
        <v>0</v>
      </c>
      <c r="S20" s="97">
        <v>132435.46540000002</v>
      </c>
      <c r="T20" s="105">
        <v>62319.61715</v>
      </c>
      <c r="U20" s="98">
        <f t="shared" si="3"/>
        <v>0</v>
      </c>
      <c r="V20" s="99"/>
      <c r="W20" s="100">
        <f t="shared" si="26"/>
        <v>1</v>
      </c>
      <c r="X20" s="101">
        <f t="shared" si="13"/>
        <v>1</v>
      </c>
      <c r="Y20" s="97">
        <v>-4127.29102</v>
      </c>
      <c r="Z20" s="106">
        <v>0</v>
      </c>
      <c r="AA20" s="106">
        <v>4127.29102</v>
      </c>
      <c r="AB20" s="106">
        <v>0</v>
      </c>
      <c r="AC20" s="106">
        <f t="shared" si="5"/>
        <v>128308.17438</v>
      </c>
      <c r="AD20" s="106">
        <f t="shared" si="5"/>
        <v>89703.96638</v>
      </c>
      <c r="AE20" s="106">
        <f t="shared" si="5"/>
        <v>22668.437894736842</v>
      </c>
      <c r="AF20" s="106">
        <f t="shared" si="14"/>
        <v>15935.770105263156</v>
      </c>
      <c r="AG20" s="106">
        <f>AF20*5%</f>
        <v>796.7885052631578</v>
      </c>
      <c r="AH20" s="106">
        <f t="shared" si="23"/>
        <v>4924.079525263158</v>
      </c>
      <c r="AI20" s="107">
        <f t="shared" si="22"/>
        <v>0</v>
      </c>
      <c r="AJ20" s="99"/>
      <c r="AK20" s="108">
        <f t="shared" si="29"/>
        <v>1.5</v>
      </c>
      <c r="AL20" s="101">
        <f t="shared" si="8"/>
        <v>1.5</v>
      </c>
      <c r="AM20" s="109">
        <v>5826.5</v>
      </c>
      <c r="AN20" s="100">
        <v>9587</v>
      </c>
      <c r="AO20" s="119">
        <f t="shared" si="9"/>
        <v>0.6077500782309377</v>
      </c>
      <c r="AP20" s="99"/>
      <c r="AQ20" s="108">
        <f t="shared" si="27"/>
        <v>1</v>
      </c>
      <c r="AR20" s="110">
        <f t="shared" si="15"/>
        <v>1</v>
      </c>
      <c r="AS20" s="109">
        <v>16711.8</v>
      </c>
      <c r="AT20" s="100">
        <v>24201</v>
      </c>
      <c r="AU20" s="107">
        <f t="shared" si="10"/>
        <v>0.690541713152349</v>
      </c>
      <c r="AV20" s="99"/>
      <c r="AW20" s="108">
        <f t="shared" si="28"/>
        <v>1</v>
      </c>
      <c r="AX20" s="110">
        <f t="shared" si="11"/>
        <v>1</v>
      </c>
      <c r="AY20" s="111">
        <f t="shared" si="16"/>
        <v>6.5</v>
      </c>
      <c r="AZ20" s="115"/>
      <c r="BA20" s="94"/>
      <c r="BB20" s="71"/>
      <c r="BC20" s="85"/>
      <c r="BD20" s="71"/>
      <c r="BE20" s="87"/>
      <c r="BF20" s="87"/>
      <c r="BG20" s="87"/>
      <c r="BH20" s="71"/>
      <c r="BJ20" s="85"/>
      <c r="BK20" s="71"/>
      <c r="BL20" s="87"/>
      <c r="BM20" s="87"/>
      <c r="BN20" s="87"/>
      <c r="BO20" s="71"/>
    </row>
    <row r="21" spans="1:67" s="84" customFormat="1" ht="12.75">
      <c r="A21" s="96" t="s">
        <v>11</v>
      </c>
      <c r="B21" s="97">
        <v>0</v>
      </c>
      <c r="C21" s="97">
        <v>12805.25425</v>
      </c>
      <c r="D21" s="97">
        <v>0</v>
      </c>
      <c r="E21" s="98">
        <f t="shared" si="12"/>
        <v>0</v>
      </c>
      <c r="F21" s="99"/>
      <c r="G21" s="100">
        <f t="shared" si="24"/>
        <v>1</v>
      </c>
      <c r="H21" s="101">
        <f t="shared" si="0"/>
        <v>1</v>
      </c>
      <c r="I21" s="97">
        <v>0</v>
      </c>
      <c r="J21" s="102">
        <v>382940.36175</v>
      </c>
      <c r="K21" s="103">
        <v>262261.56175</v>
      </c>
      <c r="L21" s="97">
        <v>71941.59392857143</v>
      </c>
      <c r="M21" s="97">
        <v>0</v>
      </c>
      <c r="N21" s="98">
        <f t="shared" si="18"/>
        <v>0</v>
      </c>
      <c r="O21" s="99"/>
      <c r="P21" s="100">
        <f t="shared" si="25"/>
        <v>1</v>
      </c>
      <c r="Q21" s="101">
        <f t="shared" si="2"/>
        <v>1</v>
      </c>
      <c r="R21" s="104">
        <v>0</v>
      </c>
      <c r="S21" s="97">
        <v>395745.616</v>
      </c>
      <c r="T21" s="105">
        <v>196560.05375</v>
      </c>
      <c r="U21" s="98">
        <f t="shared" si="3"/>
        <v>0</v>
      </c>
      <c r="V21" s="99"/>
      <c r="W21" s="100">
        <f t="shared" si="26"/>
        <v>1</v>
      </c>
      <c r="X21" s="101">
        <f t="shared" si="13"/>
        <v>1</v>
      </c>
      <c r="Y21" s="97">
        <v>-12805.25425</v>
      </c>
      <c r="Z21" s="106">
        <v>0</v>
      </c>
      <c r="AA21" s="106">
        <v>12805.25425</v>
      </c>
      <c r="AB21" s="106">
        <v>0</v>
      </c>
      <c r="AC21" s="106">
        <f t="shared" si="5"/>
        <v>382940.36175</v>
      </c>
      <c r="AD21" s="106">
        <f t="shared" si="5"/>
        <v>262261.56175</v>
      </c>
      <c r="AE21" s="106">
        <f t="shared" si="5"/>
        <v>71941.59392857143</v>
      </c>
      <c r="AF21" s="106">
        <f t="shared" si="14"/>
        <v>48737.20607142856</v>
      </c>
      <c r="AG21" s="106">
        <f>AF21*10%</f>
        <v>4873.720607142856</v>
      </c>
      <c r="AH21" s="106">
        <f t="shared" si="23"/>
        <v>17678.974857142857</v>
      </c>
      <c r="AI21" s="107">
        <f t="shared" si="22"/>
        <v>0</v>
      </c>
      <c r="AJ21" s="112"/>
      <c r="AK21" s="108">
        <f t="shared" si="29"/>
        <v>1.5</v>
      </c>
      <c r="AL21" s="101">
        <f t="shared" si="8"/>
        <v>1.5</v>
      </c>
      <c r="AM21" s="109">
        <v>16045.4</v>
      </c>
      <c r="AN21" s="100">
        <v>16894</v>
      </c>
      <c r="AO21" s="119">
        <f t="shared" si="9"/>
        <v>0.9497691488102284</v>
      </c>
      <c r="AP21" s="112"/>
      <c r="AQ21" s="108">
        <f t="shared" si="27"/>
        <v>1</v>
      </c>
      <c r="AR21" s="110">
        <f t="shared" si="15"/>
        <v>1</v>
      </c>
      <c r="AS21" s="109">
        <v>36748</v>
      </c>
      <c r="AT21" s="100">
        <v>38668</v>
      </c>
      <c r="AU21" s="107">
        <f t="shared" si="10"/>
        <v>0.9503465397744906</v>
      </c>
      <c r="AV21" s="112"/>
      <c r="AW21" s="108">
        <f t="shared" si="28"/>
        <v>1</v>
      </c>
      <c r="AX21" s="110">
        <f t="shared" si="11"/>
        <v>1</v>
      </c>
      <c r="AY21" s="111">
        <f t="shared" si="16"/>
        <v>6.5</v>
      </c>
      <c r="AZ21" s="115"/>
      <c r="BA21" s="94"/>
      <c r="BB21" s="71"/>
      <c r="BC21" s="85"/>
      <c r="BD21" s="71"/>
      <c r="BE21" s="87"/>
      <c r="BF21" s="87"/>
      <c r="BG21" s="87"/>
      <c r="BH21" s="71"/>
      <c r="BJ21" s="85"/>
      <c r="BK21" s="71"/>
      <c r="BL21" s="87"/>
      <c r="BM21" s="87"/>
      <c r="BN21" s="87"/>
      <c r="BO21" s="71"/>
    </row>
    <row r="22" spans="1:67" s="84" customFormat="1" ht="12.75">
      <c r="A22" s="96" t="s">
        <v>12</v>
      </c>
      <c r="B22" s="97">
        <v>0</v>
      </c>
      <c r="C22" s="97">
        <v>2295.44505</v>
      </c>
      <c r="D22" s="97">
        <v>0</v>
      </c>
      <c r="E22" s="98">
        <f t="shared" si="12"/>
        <v>0</v>
      </c>
      <c r="F22" s="99"/>
      <c r="G22" s="100">
        <f t="shared" si="24"/>
        <v>1</v>
      </c>
      <c r="H22" s="101">
        <f t="shared" si="0"/>
        <v>1</v>
      </c>
      <c r="I22" s="97">
        <v>0</v>
      </c>
      <c r="J22" s="102">
        <v>166529.51615</v>
      </c>
      <c r="K22" s="103">
        <v>127409.51615000001</v>
      </c>
      <c r="L22" s="97">
        <v>27379.791666666664</v>
      </c>
      <c r="M22" s="97">
        <v>0</v>
      </c>
      <c r="N22" s="98">
        <f t="shared" si="18"/>
        <v>0</v>
      </c>
      <c r="O22" s="99"/>
      <c r="P22" s="100">
        <f t="shared" si="25"/>
        <v>1</v>
      </c>
      <c r="Q22" s="101">
        <f t="shared" si="2"/>
        <v>1</v>
      </c>
      <c r="R22" s="104">
        <v>0</v>
      </c>
      <c r="S22" s="97">
        <v>168824.9612</v>
      </c>
      <c r="T22" s="105">
        <v>82655.31814999999</v>
      </c>
      <c r="U22" s="98">
        <f t="shared" si="3"/>
        <v>0</v>
      </c>
      <c r="V22" s="99"/>
      <c r="W22" s="100">
        <f t="shared" si="26"/>
        <v>1</v>
      </c>
      <c r="X22" s="101">
        <f t="shared" si="13"/>
        <v>1</v>
      </c>
      <c r="Y22" s="97">
        <v>-2295.44505</v>
      </c>
      <c r="Z22" s="106">
        <v>0</v>
      </c>
      <c r="AA22" s="106">
        <v>2295.44505</v>
      </c>
      <c r="AB22" s="106">
        <v>0</v>
      </c>
      <c r="AC22" s="106">
        <f t="shared" si="5"/>
        <v>166529.51615</v>
      </c>
      <c r="AD22" s="106">
        <f t="shared" si="5"/>
        <v>127409.51615000001</v>
      </c>
      <c r="AE22" s="106">
        <f t="shared" si="5"/>
        <v>27379.791666666664</v>
      </c>
      <c r="AF22" s="106">
        <f t="shared" si="14"/>
        <v>11740.208333333336</v>
      </c>
      <c r="AG22" s="106">
        <f>AF22*5%</f>
        <v>587.0104166666669</v>
      </c>
      <c r="AH22" s="106">
        <f t="shared" si="23"/>
        <v>2882.455466666667</v>
      </c>
      <c r="AI22" s="107">
        <f t="shared" si="22"/>
        <v>0</v>
      </c>
      <c r="AJ22" s="99"/>
      <c r="AK22" s="108">
        <f t="shared" si="29"/>
        <v>1.5</v>
      </c>
      <c r="AL22" s="101">
        <f t="shared" si="8"/>
        <v>1.5</v>
      </c>
      <c r="AM22" s="109">
        <v>9273.3</v>
      </c>
      <c r="AN22" s="100">
        <v>10485</v>
      </c>
      <c r="AO22" s="119">
        <f t="shared" si="9"/>
        <v>0.8844349070100143</v>
      </c>
      <c r="AP22" s="99"/>
      <c r="AQ22" s="108">
        <f t="shared" si="27"/>
        <v>1</v>
      </c>
      <c r="AR22" s="110">
        <f t="shared" si="15"/>
        <v>1</v>
      </c>
      <c r="AS22" s="109">
        <v>24234</v>
      </c>
      <c r="AT22" s="100">
        <v>26192</v>
      </c>
      <c r="AU22" s="107">
        <f t="shared" si="10"/>
        <v>0.9252443494196702</v>
      </c>
      <c r="AV22" s="99"/>
      <c r="AW22" s="108">
        <f t="shared" si="28"/>
        <v>1</v>
      </c>
      <c r="AX22" s="110">
        <f t="shared" si="11"/>
        <v>1</v>
      </c>
      <c r="AY22" s="111">
        <f t="shared" si="16"/>
        <v>6.5</v>
      </c>
      <c r="AZ22" s="115"/>
      <c r="BA22" s="94"/>
      <c r="BB22" s="71"/>
      <c r="BC22" s="85"/>
      <c r="BD22" s="71"/>
      <c r="BE22" s="87"/>
      <c r="BF22" s="87"/>
      <c r="BG22" s="87"/>
      <c r="BH22" s="71"/>
      <c r="BJ22" s="85"/>
      <c r="BK22" s="71"/>
      <c r="BL22" s="87"/>
      <c r="BM22" s="87"/>
      <c r="BN22" s="87"/>
      <c r="BO22" s="71"/>
    </row>
    <row r="23" spans="1:67" s="84" customFormat="1" ht="12.75">
      <c r="A23" s="96" t="s">
        <v>13</v>
      </c>
      <c r="B23" s="97">
        <v>2432.916</v>
      </c>
      <c r="C23" s="97">
        <v>6722.8515800000005</v>
      </c>
      <c r="D23" s="97">
        <v>0</v>
      </c>
      <c r="E23" s="98">
        <f t="shared" si="12"/>
        <v>0.36188750726518343</v>
      </c>
      <c r="F23" s="99"/>
      <c r="G23" s="100">
        <f t="shared" si="24"/>
        <v>1</v>
      </c>
      <c r="H23" s="101">
        <f t="shared" si="0"/>
        <v>1</v>
      </c>
      <c r="I23" s="97">
        <v>0</v>
      </c>
      <c r="J23" s="102">
        <v>418039.48568</v>
      </c>
      <c r="K23" s="103">
        <v>287117.14568</v>
      </c>
      <c r="L23" s="97">
        <v>82361.85217391305</v>
      </c>
      <c r="M23" s="97">
        <v>0</v>
      </c>
      <c r="N23" s="98">
        <f t="shared" si="18"/>
        <v>0</v>
      </c>
      <c r="O23" s="99"/>
      <c r="P23" s="100">
        <f t="shared" si="25"/>
        <v>1</v>
      </c>
      <c r="Q23" s="101">
        <f t="shared" si="2"/>
        <v>1</v>
      </c>
      <c r="R23" s="104">
        <v>100</v>
      </c>
      <c r="S23" s="97">
        <v>424762.33726</v>
      </c>
      <c r="T23" s="105">
        <v>188482.09015</v>
      </c>
      <c r="U23" s="98">
        <f t="shared" si="3"/>
        <v>0.000423226237584918</v>
      </c>
      <c r="V23" s="99"/>
      <c r="W23" s="100">
        <f t="shared" si="26"/>
        <v>1</v>
      </c>
      <c r="X23" s="101">
        <f t="shared" si="13"/>
        <v>1</v>
      </c>
      <c r="Y23" s="97">
        <v>-6722.8515800000005</v>
      </c>
      <c r="Z23" s="106">
        <v>0</v>
      </c>
      <c r="AA23" s="106">
        <v>4289.93558</v>
      </c>
      <c r="AB23" s="106">
        <v>0</v>
      </c>
      <c r="AC23" s="106">
        <f t="shared" si="5"/>
        <v>418039.48568</v>
      </c>
      <c r="AD23" s="106">
        <f t="shared" si="5"/>
        <v>287117.14568</v>
      </c>
      <c r="AE23" s="106">
        <f t="shared" si="5"/>
        <v>82361.85217391305</v>
      </c>
      <c r="AF23" s="106">
        <f t="shared" si="14"/>
        <v>48560.487826086915</v>
      </c>
      <c r="AG23" s="106">
        <f>AF23*10%</f>
        <v>4856.048782608692</v>
      </c>
      <c r="AH23" s="106">
        <f t="shared" si="23"/>
        <v>9145.984362608691</v>
      </c>
      <c r="AI23" s="107">
        <f t="shared" si="22"/>
        <v>0</v>
      </c>
      <c r="AJ23" s="112"/>
      <c r="AK23" s="108">
        <f t="shared" si="29"/>
        <v>1.5</v>
      </c>
      <c r="AL23" s="101">
        <f t="shared" si="8"/>
        <v>1.5</v>
      </c>
      <c r="AM23" s="109">
        <v>15536.2</v>
      </c>
      <c r="AN23" s="100">
        <v>16894</v>
      </c>
      <c r="AO23" s="119">
        <f t="shared" si="9"/>
        <v>0.9196282703918551</v>
      </c>
      <c r="AP23" s="112"/>
      <c r="AQ23" s="108">
        <f t="shared" si="27"/>
        <v>1</v>
      </c>
      <c r="AR23" s="110">
        <f t="shared" si="15"/>
        <v>1</v>
      </c>
      <c r="AS23" s="109">
        <v>36838.1</v>
      </c>
      <c r="AT23" s="100">
        <v>38668</v>
      </c>
      <c r="AU23" s="107">
        <f t="shared" si="10"/>
        <v>0.9526766318402813</v>
      </c>
      <c r="AV23" s="112"/>
      <c r="AW23" s="108">
        <f t="shared" si="28"/>
        <v>1</v>
      </c>
      <c r="AX23" s="110">
        <f t="shared" si="11"/>
        <v>1</v>
      </c>
      <c r="AY23" s="111">
        <f t="shared" si="16"/>
        <v>6.5</v>
      </c>
      <c r="AZ23" s="115"/>
      <c r="BA23" s="94"/>
      <c r="BB23" s="71"/>
      <c r="BC23" s="85"/>
      <c r="BD23" s="71"/>
      <c r="BE23" s="87"/>
      <c r="BF23" s="87"/>
      <c r="BG23" s="87"/>
      <c r="BH23" s="71"/>
      <c r="BJ23" s="85"/>
      <c r="BK23" s="71"/>
      <c r="BL23" s="87"/>
      <c r="BM23" s="87"/>
      <c r="BN23" s="87"/>
      <c r="BO23" s="71"/>
    </row>
    <row r="24" spans="1:67" s="84" customFormat="1" ht="12.75">
      <c r="A24" s="96" t="s">
        <v>14</v>
      </c>
      <c r="B24" s="97">
        <v>0</v>
      </c>
      <c r="C24" s="97">
        <v>3325.83465</v>
      </c>
      <c r="D24" s="97">
        <v>0</v>
      </c>
      <c r="E24" s="98">
        <f t="shared" si="12"/>
        <v>0</v>
      </c>
      <c r="F24" s="99"/>
      <c r="G24" s="100">
        <f>IF(E24&lt;=1.05,1,0)</f>
        <v>1</v>
      </c>
      <c r="H24" s="101">
        <f t="shared" si="0"/>
        <v>1</v>
      </c>
      <c r="I24" s="97">
        <v>0</v>
      </c>
      <c r="J24" s="102">
        <v>238790.16494999998</v>
      </c>
      <c r="K24" s="103">
        <v>186257.36495</v>
      </c>
      <c r="L24" s="97">
        <v>32041.979166666664</v>
      </c>
      <c r="M24" s="97">
        <v>0</v>
      </c>
      <c r="N24" s="98">
        <f t="shared" si="18"/>
        <v>0</v>
      </c>
      <c r="O24" s="99"/>
      <c r="P24" s="100">
        <f>IF(N24&lt;=0.5,1,0)</f>
        <v>1</v>
      </c>
      <c r="Q24" s="101">
        <f t="shared" si="2"/>
        <v>1</v>
      </c>
      <c r="R24" s="104">
        <v>0</v>
      </c>
      <c r="S24" s="97">
        <v>242115.99959999998</v>
      </c>
      <c r="T24" s="105">
        <v>106625.84595</v>
      </c>
      <c r="U24" s="98">
        <f t="shared" si="3"/>
        <v>0</v>
      </c>
      <c r="V24" s="99"/>
      <c r="W24" s="100">
        <f>IF(U24&lt;=0.15,1,0)</f>
        <v>1</v>
      </c>
      <c r="X24" s="101">
        <f t="shared" si="13"/>
        <v>1</v>
      </c>
      <c r="Y24" s="97">
        <v>-3325.83465</v>
      </c>
      <c r="Z24" s="106">
        <v>0</v>
      </c>
      <c r="AA24" s="106">
        <v>3325.83465</v>
      </c>
      <c r="AB24" s="106">
        <v>0</v>
      </c>
      <c r="AC24" s="106">
        <f t="shared" si="5"/>
        <v>238790.16494999998</v>
      </c>
      <c r="AD24" s="106">
        <f t="shared" si="5"/>
        <v>186257.36495</v>
      </c>
      <c r="AE24" s="106">
        <f t="shared" si="5"/>
        <v>32041.979166666664</v>
      </c>
      <c r="AF24" s="106">
        <f t="shared" si="14"/>
        <v>20490.820833333324</v>
      </c>
      <c r="AG24" s="106">
        <f aca="true" t="shared" si="30" ref="AG24:AG32">AF24*5%</f>
        <v>1024.5410416666662</v>
      </c>
      <c r="AH24" s="106">
        <f t="shared" si="23"/>
        <v>4350.375691666666</v>
      </c>
      <c r="AI24" s="107">
        <f t="shared" si="22"/>
        <v>0</v>
      </c>
      <c r="AJ24" s="112"/>
      <c r="AK24" s="108">
        <f t="shared" si="29"/>
        <v>1.5</v>
      </c>
      <c r="AL24" s="101">
        <f t="shared" si="8"/>
        <v>1.5</v>
      </c>
      <c r="AM24" s="109">
        <v>9158.7</v>
      </c>
      <c r="AN24" s="100">
        <v>11794</v>
      </c>
      <c r="AO24" s="119">
        <f t="shared" si="9"/>
        <v>0.776555875869086</v>
      </c>
      <c r="AP24" s="112"/>
      <c r="AQ24" s="108">
        <f t="shared" si="27"/>
        <v>1</v>
      </c>
      <c r="AR24" s="110">
        <f>AP24+AQ24</f>
        <v>1</v>
      </c>
      <c r="AS24" s="109">
        <v>23862.3</v>
      </c>
      <c r="AT24" s="100">
        <v>29118</v>
      </c>
      <c r="AU24" s="107">
        <f t="shared" si="10"/>
        <v>0.8195033999587884</v>
      </c>
      <c r="AV24" s="112"/>
      <c r="AW24" s="108">
        <f t="shared" si="28"/>
        <v>1</v>
      </c>
      <c r="AX24" s="110">
        <f t="shared" si="11"/>
        <v>1</v>
      </c>
      <c r="AY24" s="111">
        <f t="shared" si="16"/>
        <v>6.5</v>
      </c>
      <c r="AZ24" s="115"/>
      <c r="BA24" s="94"/>
      <c r="BB24" s="71"/>
      <c r="BC24" s="85"/>
      <c r="BD24" s="71"/>
      <c r="BE24" s="87"/>
      <c r="BF24" s="87"/>
      <c r="BG24" s="87"/>
      <c r="BH24" s="71"/>
      <c r="BJ24" s="85"/>
      <c r="BK24" s="71"/>
      <c r="BL24" s="87"/>
      <c r="BM24" s="87"/>
      <c r="BN24" s="87"/>
      <c r="BO24" s="71"/>
    </row>
    <row r="25" spans="1:67" s="84" customFormat="1" ht="12.75">
      <c r="A25" s="96" t="s">
        <v>15</v>
      </c>
      <c r="B25" s="97">
        <v>0</v>
      </c>
      <c r="C25" s="97">
        <v>5814.48846</v>
      </c>
      <c r="D25" s="97">
        <v>0</v>
      </c>
      <c r="E25" s="98">
        <f t="shared" si="12"/>
        <v>0</v>
      </c>
      <c r="F25" s="99"/>
      <c r="G25" s="100">
        <f aca="true" t="shared" si="31" ref="G25:G39">IF(E25&lt;=1.05,1,0)</f>
        <v>1</v>
      </c>
      <c r="H25" s="101">
        <f t="shared" si="0"/>
        <v>1</v>
      </c>
      <c r="I25" s="97">
        <v>0</v>
      </c>
      <c r="J25" s="102">
        <v>397059.09617000003</v>
      </c>
      <c r="K25" s="103">
        <v>287164.09617000003</v>
      </c>
      <c r="L25" s="97">
        <v>75672.41666666666</v>
      </c>
      <c r="M25" s="97">
        <v>0</v>
      </c>
      <c r="N25" s="98">
        <f t="shared" si="18"/>
        <v>0</v>
      </c>
      <c r="O25" s="99"/>
      <c r="P25" s="100">
        <f>IF(N25&lt;=0.5,1,0)</f>
        <v>1</v>
      </c>
      <c r="Q25" s="101">
        <f>O25+P25</f>
        <v>1</v>
      </c>
      <c r="R25" s="104">
        <v>0</v>
      </c>
      <c r="S25" s="97">
        <v>402873.58463</v>
      </c>
      <c r="T25" s="105">
        <v>201621.98117</v>
      </c>
      <c r="U25" s="98">
        <f t="shared" si="3"/>
        <v>0</v>
      </c>
      <c r="V25" s="99"/>
      <c r="W25" s="100">
        <f aca="true" t="shared" si="32" ref="W25:W39">IF(U25&lt;=0.15,1,0)</f>
        <v>1</v>
      </c>
      <c r="X25" s="101">
        <f t="shared" si="13"/>
        <v>1</v>
      </c>
      <c r="Y25" s="97">
        <v>-5814.48846</v>
      </c>
      <c r="Z25" s="106">
        <v>0</v>
      </c>
      <c r="AA25" s="106">
        <v>5814.48846</v>
      </c>
      <c r="AB25" s="106">
        <v>0</v>
      </c>
      <c r="AC25" s="106">
        <f t="shared" si="5"/>
        <v>397059.09617000003</v>
      </c>
      <c r="AD25" s="106">
        <f t="shared" si="5"/>
        <v>287164.09617000003</v>
      </c>
      <c r="AE25" s="106">
        <f t="shared" si="5"/>
        <v>75672.41666666666</v>
      </c>
      <c r="AF25" s="106">
        <f t="shared" si="14"/>
        <v>34222.58333333334</v>
      </c>
      <c r="AG25" s="106">
        <f>AF25*10%</f>
        <v>3422.2583333333346</v>
      </c>
      <c r="AH25" s="106">
        <f t="shared" si="23"/>
        <v>9236.746793333334</v>
      </c>
      <c r="AI25" s="107">
        <f t="shared" si="22"/>
        <v>0</v>
      </c>
      <c r="AJ25" s="112"/>
      <c r="AK25" s="108">
        <f t="shared" si="29"/>
        <v>1.5</v>
      </c>
      <c r="AL25" s="101">
        <f t="shared" si="8"/>
        <v>1.5</v>
      </c>
      <c r="AM25" s="109">
        <v>12334.7</v>
      </c>
      <c r="AN25" s="100">
        <v>13953</v>
      </c>
      <c r="AO25" s="119">
        <f t="shared" si="9"/>
        <v>0.8840177739554218</v>
      </c>
      <c r="AP25" s="112"/>
      <c r="AQ25" s="108">
        <f t="shared" si="27"/>
        <v>1</v>
      </c>
      <c r="AR25" s="110">
        <f t="shared" si="15"/>
        <v>1</v>
      </c>
      <c r="AS25" s="109">
        <v>26303.8</v>
      </c>
      <c r="AT25" s="100">
        <v>33128</v>
      </c>
      <c r="AU25" s="107">
        <f t="shared" si="10"/>
        <v>0.7940050712388311</v>
      </c>
      <c r="AV25" s="112"/>
      <c r="AW25" s="108">
        <f t="shared" si="28"/>
        <v>1</v>
      </c>
      <c r="AX25" s="110">
        <f t="shared" si="11"/>
        <v>1</v>
      </c>
      <c r="AY25" s="111">
        <f t="shared" si="16"/>
        <v>6.5</v>
      </c>
      <c r="AZ25" s="115"/>
      <c r="BA25" s="94"/>
      <c r="BB25" s="71"/>
      <c r="BC25" s="85"/>
      <c r="BD25" s="71"/>
      <c r="BE25" s="87"/>
      <c r="BF25" s="87"/>
      <c r="BG25" s="87"/>
      <c r="BH25" s="71"/>
      <c r="BJ25" s="85"/>
      <c r="BK25" s="71"/>
      <c r="BL25" s="87"/>
      <c r="BM25" s="87"/>
      <c r="BN25" s="87"/>
      <c r="BO25" s="71"/>
    </row>
    <row r="26" spans="1:67" s="84" customFormat="1" ht="12.75">
      <c r="A26" s="96" t="s">
        <v>16</v>
      </c>
      <c r="B26" s="97">
        <v>0</v>
      </c>
      <c r="C26" s="97">
        <v>5183.67936</v>
      </c>
      <c r="D26" s="97">
        <v>0</v>
      </c>
      <c r="E26" s="98">
        <f t="shared" si="12"/>
        <v>0</v>
      </c>
      <c r="F26" s="99"/>
      <c r="G26" s="100">
        <f t="shared" si="31"/>
        <v>1</v>
      </c>
      <c r="H26" s="101">
        <f t="shared" si="0"/>
        <v>1</v>
      </c>
      <c r="I26" s="97">
        <v>0</v>
      </c>
      <c r="J26" s="102">
        <v>264721.19312999997</v>
      </c>
      <c r="K26" s="103">
        <v>201345.69313</v>
      </c>
      <c r="L26" s="97">
        <v>35059.675</v>
      </c>
      <c r="M26" s="97">
        <v>0</v>
      </c>
      <c r="N26" s="98">
        <f t="shared" si="18"/>
        <v>0</v>
      </c>
      <c r="O26" s="99"/>
      <c r="P26" s="100">
        <f aca="true" t="shared" si="33" ref="P26:P39">IF(N26&lt;=0.5,1,0)</f>
        <v>1</v>
      </c>
      <c r="Q26" s="101">
        <f t="shared" si="2"/>
        <v>1</v>
      </c>
      <c r="R26" s="104">
        <v>0</v>
      </c>
      <c r="S26" s="97">
        <v>269904.87249000004</v>
      </c>
      <c r="T26" s="105">
        <v>131342.18747</v>
      </c>
      <c r="U26" s="98">
        <f t="shared" si="3"/>
        <v>0</v>
      </c>
      <c r="V26" s="99"/>
      <c r="W26" s="100">
        <f t="shared" si="32"/>
        <v>1</v>
      </c>
      <c r="X26" s="101">
        <f t="shared" si="13"/>
        <v>1</v>
      </c>
      <c r="Y26" s="97">
        <v>-5183.67936</v>
      </c>
      <c r="Z26" s="106">
        <v>0</v>
      </c>
      <c r="AA26" s="106">
        <v>5183.67936</v>
      </c>
      <c r="AB26" s="106">
        <v>0</v>
      </c>
      <c r="AC26" s="106">
        <f t="shared" si="5"/>
        <v>264721.19312999997</v>
      </c>
      <c r="AD26" s="106">
        <f t="shared" si="5"/>
        <v>201345.69313</v>
      </c>
      <c r="AE26" s="106">
        <f t="shared" si="5"/>
        <v>35059.675</v>
      </c>
      <c r="AF26" s="106">
        <f t="shared" si="14"/>
        <v>28315.824999999968</v>
      </c>
      <c r="AG26" s="106">
        <f t="shared" si="30"/>
        <v>1415.7912499999984</v>
      </c>
      <c r="AH26" s="106">
        <f t="shared" si="23"/>
        <v>6599.4706099999985</v>
      </c>
      <c r="AI26" s="107">
        <f t="shared" si="22"/>
        <v>0</v>
      </c>
      <c r="AJ26" s="99"/>
      <c r="AK26" s="108">
        <f t="shared" si="29"/>
        <v>1.5</v>
      </c>
      <c r="AL26" s="101">
        <f t="shared" si="8"/>
        <v>1.5</v>
      </c>
      <c r="AM26" s="109">
        <v>10547.6</v>
      </c>
      <c r="AN26" s="100">
        <v>11047</v>
      </c>
      <c r="AO26" s="119">
        <f t="shared" si="9"/>
        <v>0.9547931565130805</v>
      </c>
      <c r="AP26" s="99"/>
      <c r="AQ26" s="108">
        <f t="shared" si="27"/>
        <v>1</v>
      </c>
      <c r="AR26" s="110">
        <f t="shared" si="15"/>
        <v>1</v>
      </c>
      <c r="AS26" s="109">
        <v>24341</v>
      </c>
      <c r="AT26" s="100">
        <v>26142</v>
      </c>
      <c r="AU26" s="107">
        <f t="shared" si="10"/>
        <v>0.931107030831612</v>
      </c>
      <c r="AV26" s="99"/>
      <c r="AW26" s="108">
        <f t="shared" si="28"/>
        <v>1</v>
      </c>
      <c r="AX26" s="110">
        <f t="shared" si="11"/>
        <v>1</v>
      </c>
      <c r="AY26" s="111">
        <f t="shared" si="16"/>
        <v>6.5</v>
      </c>
      <c r="AZ26" s="115"/>
      <c r="BA26" s="94"/>
      <c r="BB26" s="71"/>
      <c r="BC26" s="85"/>
      <c r="BD26" s="71"/>
      <c r="BE26" s="87"/>
      <c r="BF26" s="87"/>
      <c r="BG26" s="87"/>
      <c r="BH26" s="71"/>
      <c r="BJ26" s="85"/>
      <c r="BK26" s="71"/>
      <c r="BL26" s="87"/>
      <c r="BM26" s="87"/>
      <c r="BN26" s="87"/>
      <c r="BO26" s="71"/>
    </row>
    <row r="27" spans="1:67" s="84" customFormat="1" ht="12.75">
      <c r="A27" s="96" t="s">
        <v>17</v>
      </c>
      <c r="B27" s="97">
        <v>0</v>
      </c>
      <c r="C27" s="97">
        <v>4226.82922</v>
      </c>
      <c r="D27" s="97">
        <v>0</v>
      </c>
      <c r="E27" s="98">
        <f t="shared" si="12"/>
        <v>0</v>
      </c>
      <c r="F27" s="99"/>
      <c r="G27" s="100">
        <f t="shared" si="31"/>
        <v>1</v>
      </c>
      <c r="H27" s="101">
        <f t="shared" si="0"/>
        <v>1</v>
      </c>
      <c r="I27" s="97">
        <v>0</v>
      </c>
      <c r="J27" s="102">
        <v>305571.29888</v>
      </c>
      <c r="K27" s="103">
        <v>228815.79888</v>
      </c>
      <c r="L27" s="97">
        <v>50230.066666666666</v>
      </c>
      <c r="M27" s="97">
        <v>0</v>
      </c>
      <c r="N27" s="98">
        <f t="shared" si="18"/>
        <v>0</v>
      </c>
      <c r="O27" s="99"/>
      <c r="P27" s="100">
        <f t="shared" si="33"/>
        <v>1</v>
      </c>
      <c r="Q27" s="101">
        <f t="shared" si="2"/>
        <v>1</v>
      </c>
      <c r="R27" s="104">
        <v>0</v>
      </c>
      <c r="S27" s="97">
        <v>309798.12810000003</v>
      </c>
      <c r="T27" s="105">
        <v>121219.86288000002</v>
      </c>
      <c r="U27" s="98">
        <f t="shared" si="3"/>
        <v>0</v>
      </c>
      <c r="V27" s="99"/>
      <c r="W27" s="100">
        <f t="shared" si="32"/>
        <v>1</v>
      </c>
      <c r="X27" s="101">
        <f t="shared" si="13"/>
        <v>1</v>
      </c>
      <c r="Y27" s="97">
        <v>-4226.82922</v>
      </c>
      <c r="Z27" s="106">
        <v>0</v>
      </c>
      <c r="AA27" s="106">
        <v>4226.82922</v>
      </c>
      <c r="AB27" s="106">
        <v>0</v>
      </c>
      <c r="AC27" s="106">
        <f t="shared" si="5"/>
        <v>305571.29888</v>
      </c>
      <c r="AD27" s="106">
        <f t="shared" si="5"/>
        <v>228815.79888</v>
      </c>
      <c r="AE27" s="106">
        <f t="shared" si="5"/>
        <v>50230.066666666666</v>
      </c>
      <c r="AF27" s="106">
        <f t="shared" si="14"/>
        <v>26525.433333333363</v>
      </c>
      <c r="AG27" s="106">
        <f t="shared" si="30"/>
        <v>1326.2716666666684</v>
      </c>
      <c r="AH27" s="106">
        <f t="shared" si="23"/>
        <v>5553.100886666668</v>
      </c>
      <c r="AI27" s="107">
        <f t="shared" si="22"/>
        <v>0</v>
      </c>
      <c r="AJ27" s="99"/>
      <c r="AK27" s="108">
        <f t="shared" si="29"/>
        <v>1.5</v>
      </c>
      <c r="AL27" s="101">
        <f t="shared" si="8"/>
        <v>1.5</v>
      </c>
      <c r="AM27" s="109">
        <v>10381.8</v>
      </c>
      <c r="AN27" s="100">
        <v>11794</v>
      </c>
      <c r="AO27" s="119">
        <f t="shared" si="9"/>
        <v>0.8802611497371544</v>
      </c>
      <c r="AP27" s="99"/>
      <c r="AQ27" s="108">
        <f t="shared" si="27"/>
        <v>1</v>
      </c>
      <c r="AR27" s="110">
        <f t="shared" si="15"/>
        <v>1</v>
      </c>
      <c r="AS27" s="109">
        <v>24471.9</v>
      </c>
      <c r="AT27" s="100">
        <v>29118</v>
      </c>
      <c r="AU27" s="107">
        <f t="shared" si="10"/>
        <v>0.8404389037708634</v>
      </c>
      <c r="AV27" s="99"/>
      <c r="AW27" s="108">
        <f t="shared" si="28"/>
        <v>1</v>
      </c>
      <c r="AX27" s="110">
        <f t="shared" si="11"/>
        <v>1</v>
      </c>
      <c r="AY27" s="111">
        <f t="shared" si="16"/>
        <v>6.5</v>
      </c>
      <c r="AZ27" s="115"/>
      <c r="BA27" s="94"/>
      <c r="BB27" s="71"/>
      <c r="BC27" s="85"/>
      <c r="BD27" s="71"/>
      <c r="BE27" s="87"/>
      <c r="BF27" s="87"/>
      <c r="BG27" s="87"/>
      <c r="BH27" s="71"/>
      <c r="BJ27" s="85"/>
      <c r="BK27" s="71"/>
      <c r="BL27" s="87"/>
      <c r="BM27" s="87"/>
      <c r="BN27" s="87"/>
      <c r="BO27" s="71"/>
    </row>
    <row r="28" spans="1:67" s="84" customFormat="1" ht="12.75">
      <c r="A28" s="96" t="s">
        <v>18</v>
      </c>
      <c r="B28" s="97">
        <v>0</v>
      </c>
      <c r="C28" s="97">
        <v>2459.0558300000002</v>
      </c>
      <c r="D28" s="97">
        <v>0</v>
      </c>
      <c r="E28" s="98">
        <f t="shared" si="12"/>
        <v>0</v>
      </c>
      <c r="F28" s="99"/>
      <c r="G28" s="100">
        <f t="shared" si="31"/>
        <v>1</v>
      </c>
      <c r="H28" s="101">
        <f t="shared" si="0"/>
        <v>1</v>
      </c>
      <c r="I28" s="97">
        <v>0</v>
      </c>
      <c r="J28" s="102">
        <v>189033.87635</v>
      </c>
      <c r="K28" s="103">
        <v>153758.57635</v>
      </c>
      <c r="L28" s="97">
        <v>22271.68333333333</v>
      </c>
      <c r="M28" s="97">
        <v>0</v>
      </c>
      <c r="N28" s="98">
        <f t="shared" si="18"/>
        <v>0</v>
      </c>
      <c r="O28" s="99"/>
      <c r="P28" s="100">
        <f t="shared" si="33"/>
        <v>1</v>
      </c>
      <c r="Q28" s="101">
        <f t="shared" si="2"/>
        <v>1</v>
      </c>
      <c r="R28" s="104">
        <v>0</v>
      </c>
      <c r="S28" s="97">
        <v>191492.93218</v>
      </c>
      <c r="T28" s="105">
        <v>91355.59435</v>
      </c>
      <c r="U28" s="98">
        <f t="shared" si="3"/>
        <v>0</v>
      </c>
      <c r="V28" s="99"/>
      <c r="W28" s="100">
        <f t="shared" si="32"/>
        <v>1</v>
      </c>
      <c r="X28" s="101">
        <f t="shared" si="13"/>
        <v>1</v>
      </c>
      <c r="Y28" s="97">
        <v>-2459.0558300000002</v>
      </c>
      <c r="Z28" s="106">
        <v>0</v>
      </c>
      <c r="AA28" s="106">
        <v>2459.0558300000002</v>
      </c>
      <c r="AB28" s="106">
        <v>0</v>
      </c>
      <c r="AC28" s="106">
        <f t="shared" si="5"/>
        <v>189033.87635</v>
      </c>
      <c r="AD28" s="106">
        <f t="shared" si="5"/>
        <v>153758.57635</v>
      </c>
      <c r="AE28" s="106">
        <f t="shared" si="5"/>
        <v>22271.68333333333</v>
      </c>
      <c r="AF28" s="106">
        <f t="shared" si="14"/>
        <v>13003.616666666687</v>
      </c>
      <c r="AG28" s="106">
        <f t="shared" si="30"/>
        <v>650.1808333333344</v>
      </c>
      <c r="AH28" s="106">
        <f t="shared" si="23"/>
        <v>3109.2366633333345</v>
      </c>
      <c r="AI28" s="107">
        <f t="shared" si="22"/>
        <v>0</v>
      </c>
      <c r="AJ28" s="99"/>
      <c r="AK28" s="108">
        <f t="shared" si="29"/>
        <v>1.5</v>
      </c>
      <c r="AL28" s="101">
        <f t="shared" si="8"/>
        <v>1.5</v>
      </c>
      <c r="AM28" s="109">
        <v>8675.5</v>
      </c>
      <c r="AN28" s="100">
        <v>10485</v>
      </c>
      <c r="AO28" s="119">
        <f t="shared" si="9"/>
        <v>0.8274201239866475</v>
      </c>
      <c r="AP28" s="99"/>
      <c r="AQ28" s="108">
        <f t="shared" si="27"/>
        <v>1</v>
      </c>
      <c r="AR28" s="110">
        <f t="shared" si="15"/>
        <v>1</v>
      </c>
      <c r="AS28" s="109">
        <v>21791.6</v>
      </c>
      <c r="AT28" s="100">
        <v>26192</v>
      </c>
      <c r="AU28" s="107">
        <f t="shared" si="10"/>
        <v>0.8319945021380574</v>
      </c>
      <c r="AV28" s="99"/>
      <c r="AW28" s="108">
        <f t="shared" si="28"/>
        <v>1</v>
      </c>
      <c r="AX28" s="110">
        <f t="shared" si="11"/>
        <v>1</v>
      </c>
      <c r="AY28" s="111">
        <f t="shared" si="16"/>
        <v>6.5</v>
      </c>
      <c r="AZ28" s="115"/>
      <c r="BA28" s="94"/>
      <c r="BB28" s="71"/>
      <c r="BC28" s="85"/>
      <c r="BD28" s="71"/>
      <c r="BE28" s="87"/>
      <c r="BF28" s="87"/>
      <c r="BG28" s="87"/>
      <c r="BH28" s="71"/>
      <c r="BJ28" s="85"/>
      <c r="BK28" s="71"/>
      <c r="BL28" s="87"/>
      <c r="BM28" s="87"/>
      <c r="BN28" s="87"/>
      <c r="BO28" s="71"/>
    </row>
    <row r="29" spans="1:67" s="84" customFormat="1" ht="12.75">
      <c r="A29" s="96" t="s">
        <v>19</v>
      </c>
      <c r="B29" s="97">
        <v>0</v>
      </c>
      <c r="C29" s="97">
        <v>7911.32233</v>
      </c>
      <c r="D29" s="97">
        <v>0</v>
      </c>
      <c r="E29" s="98">
        <f t="shared" si="12"/>
        <v>0</v>
      </c>
      <c r="F29" s="99"/>
      <c r="G29" s="100">
        <f t="shared" si="31"/>
        <v>1</v>
      </c>
      <c r="H29" s="101">
        <f t="shared" si="0"/>
        <v>1</v>
      </c>
      <c r="I29" s="97">
        <v>0</v>
      </c>
      <c r="J29" s="102">
        <v>268818.06033999997</v>
      </c>
      <c r="K29" s="103">
        <v>191550.28834</v>
      </c>
      <c r="L29" s="97">
        <v>42685.55833333333</v>
      </c>
      <c r="M29" s="97">
        <v>0</v>
      </c>
      <c r="N29" s="98">
        <f t="shared" si="18"/>
        <v>0</v>
      </c>
      <c r="O29" s="99"/>
      <c r="P29" s="100">
        <f t="shared" si="33"/>
        <v>1</v>
      </c>
      <c r="Q29" s="101">
        <f t="shared" si="2"/>
        <v>1</v>
      </c>
      <c r="R29" s="104">
        <v>0</v>
      </c>
      <c r="S29" s="97">
        <v>276729.38267</v>
      </c>
      <c r="T29" s="105">
        <v>115401.07357000001</v>
      </c>
      <c r="U29" s="98">
        <f t="shared" si="3"/>
        <v>0</v>
      </c>
      <c r="V29" s="99"/>
      <c r="W29" s="100">
        <f t="shared" si="32"/>
        <v>1</v>
      </c>
      <c r="X29" s="101">
        <f t="shared" si="13"/>
        <v>1</v>
      </c>
      <c r="Y29" s="97">
        <v>-7911.32233</v>
      </c>
      <c r="Z29" s="106">
        <v>0</v>
      </c>
      <c r="AA29" s="106">
        <v>7911.32233</v>
      </c>
      <c r="AB29" s="106">
        <v>0</v>
      </c>
      <c r="AC29" s="106">
        <f t="shared" si="5"/>
        <v>268818.06033999997</v>
      </c>
      <c r="AD29" s="106">
        <f t="shared" si="5"/>
        <v>191550.28834</v>
      </c>
      <c r="AE29" s="106">
        <f t="shared" si="5"/>
        <v>42685.55833333333</v>
      </c>
      <c r="AF29" s="106">
        <f t="shared" si="14"/>
        <v>34582.21366666664</v>
      </c>
      <c r="AG29" s="106">
        <f t="shared" si="30"/>
        <v>1729.1106833333322</v>
      </c>
      <c r="AH29" s="106">
        <f t="shared" si="23"/>
        <v>9640.433013333331</v>
      </c>
      <c r="AI29" s="107">
        <f t="shared" si="22"/>
        <v>0</v>
      </c>
      <c r="AJ29" s="99"/>
      <c r="AK29" s="108">
        <f t="shared" si="29"/>
        <v>1.5</v>
      </c>
      <c r="AL29" s="101">
        <f t="shared" si="8"/>
        <v>1.5</v>
      </c>
      <c r="AM29" s="109">
        <v>10269.6</v>
      </c>
      <c r="AN29" s="100">
        <v>11794</v>
      </c>
      <c r="AO29" s="119">
        <f t="shared" si="9"/>
        <v>0.8707478378836697</v>
      </c>
      <c r="AP29" s="99"/>
      <c r="AQ29" s="108">
        <f t="shared" si="27"/>
        <v>1</v>
      </c>
      <c r="AR29" s="110">
        <f t="shared" si="15"/>
        <v>1</v>
      </c>
      <c r="AS29" s="109">
        <v>28418.1</v>
      </c>
      <c r="AT29" s="100">
        <v>29118</v>
      </c>
      <c r="AU29" s="107">
        <f t="shared" si="10"/>
        <v>0.9759633216567072</v>
      </c>
      <c r="AV29" s="99"/>
      <c r="AW29" s="108">
        <f t="shared" si="28"/>
        <v>1</v>
      </c>
      <c r="AX29" s="110">
        <f t="shared" si="11"/>
        <v>1</v>
      </c>
      <c r="AY29" s="111">
        <f t="shared" si="16"/>
        <v>6.5</v>
      </c>
      <c r="AZ29" s="115"/>
      <c r="BA29" s="94"/>
      <c r="BB29" s="71"/>
      <c r="BC29" s="85"/>
      <c r="BD29" s="71"/>
      <c r="BE29" s="87"/>
      <c r="BF29" s="87"/>
      <c r="BG29" s="87"/>
      <c r="BH29" s="71"/>
      <c r="BJ29" s="85"/>
      <c r="BK29" s="71"/>
      <c r="BL29" s="87"/>
      <c r="BM29" s="87"/>
      <c r="BN29" s="87"/>
      <c r="BO29" s="71"/>
    </row>
    <row r="30" spans="1:67" s="84" customFormat="1" ht="12.75">
      <c r="A30" s="96" t="s">
        <v>20</v>
      </c>
      <c r="B30" s="97">
        <v>0</v>
      </c>
      <c r="C30" s="97">
        <v>0</v>
      </c>
      <c r="D30" s="97">
        <v>0</v>
      </c>
      <c r="E30" s="98">
        <f t="shared" si="12"/>
        <v>0</v>
      </c>
      <c r="F30" s="99"/>
      <c r="G30" s="100">
        <f t="shared" si="31"/>
        <v>1</v>
      </c>
      <c r="H30" s="101">
        <f t="shared" si="0"/>
        <v>1</v>
      </c>
      <c r="I30" s="97">
        <v>0</v>
      </c>
      <c r="J30" s="102">
        <v>321315.45211</v>
      </c>
      <c r="K30" s="103">
        <v>231393.65211000002</v>
      </c>
      <c r="L30" s="97">
        <v>55470.333333333336</v>
      </c>
      <c r="M30" s="97">
        <v>0</v>
      </c>
      <c r="N30" s="98">
        <f t="shared" si="18"/>
        <v>0</v>
      </c>
      <c r="O30" s="99"/>
      <c r="P30" s="100">
        <f>IF(N30&lt;=0.5,1,0)</f>
        <v>1</v>
      </c>
      <c r="Q30" s="101">
        <f>O30+P30</f>
        <v>1</v>
      </c>
      <c r="R30" s="104">
        <v>0</v>
      </c>
      <c r="S30" s="97">
        <v>321315.45211</v>
      </c>
      <c r="T30" s="105">
        <v>162230.92221000002</v>
      </c>
      <c r="U30" s="98">
        <f t="shared" si="3"/>
        <v>0</v>
      </c>
      <c r="V30" s="99"/>
      <c r="W30" s="100">
        <f t="shared" si="32"/>
        <v>1</v>
      </c>
      <c r="X30" s="101">
        <f t="shared" si="13"/>
        <v>1</v>
      </c>
      <c r="Y30" s="97">
        <v>0</v>
      </c>
      <c r="Z30" s="106">
        <v>0</v>
      </c>
      <c r="AA30" s="106">
        <v>0</v>
      </c>
      <c r="AB30" s="106">
        <v>0</v>
      </c>
      <c r="AC30" s="106">
        <f t="shared" si="5"/>
        <v>321315.45211</v>
      </c>
      <c r="AD30" s="106">
        <f t="shared" si="5"/>
        <v>231393.65211000002</v>
      </c>
      <c r="AE30" s="106">
        <f t="shared" si="5"/>
        <v>55470.333333333336</v>
      </c>
      <c r="AF30" s="106">
        <f t="shared" si="14"/>
        <v>34451.46666666665</v>
      </c>
      <c r="AG30" s="106">
        <f>AF30*10%</f>
        <v>3445.1466666666656</v>
      </c>
      <c r="AH30" s="106">
        <f t="shared" si="23"/>
        <v>3445.1466666666656</v>
      </c>
      <c r="AI30" s="107">
        <f t="shared" si="22"/>
        <v>0</v>
      </c>
      <c r="AJ30" s="112"/>
      <c r="AK30" s="108">
        <f t="shared" si="29"/>
        <v>1.5</v>
      </c>
      <c r="AL30" s="101">
        <f t="shared" si="8"/>
        <v>1.5</v>
      </c>
      <c r="AM30" s="109">
        <v>13585.2</v>
      </c>
      <c r="AN30" s="100">
        <v>13953</v>
      </c>
      <c r="AO30" s="119">
        <f t="shared" si="9"/>
        <v>0.9736400774027092</v>
      </c>
      <c r="AP30" s="112"/>
      <c r="AQ30" s="108">
        <f t="shared" si="27"/>
        <v>1</v>
      </c>
      <c r="AR30" s="110">
        <f t="shared" si="15"/>
        <v>1</v>
      </c>
      <c r="AS30" s="109">
        <v>31191.1</v>
      </c>
      <c r="AT30" s="100">
        <v>33128</v>
      </c>
      <c r="AU30" s="107">
        <f t="shared" si="10"/>
        <v>0.9415328423086211</v>
      </c>
      <c r="AV30" s="112"/>
      <c r="AW30" s="108">
        <f t="shared" si="28"/>
        <v>1</v>
      </c>
      <c r="AX30" s="110">
        <f t="shared" si="11"/>
        <v>1</v>
      </c>
      <c r="AY30" s="111">
        <f t="shared" si="16"/>
        <v>6.5</v>
      </c>
      <c r="AZ30" s="115"/>
      <c r="BA30" s="94"/>
      <c r="BB30" s="71"/>
      <c r="BC30" s="85"/>
      <c r="BD30" s="71"/>
      <c r="BE30" s="87"/>
      <c r="BF30" s="87"/>
      <c r="BG30" s="87"/>
      <c r="BH30" s="71"/>
      <c r="BJ30" s="85"/>
      <c r="BK30" s="71"/>
      <c r="BL30" s="87"/>
      <c r="BM30" s="87"/>
      <c r="BN30" s="87"/>
      <c r="BO30" s="71"/>
    </row>
    <row r="31" spans="1:67" s="84" customFormat="1" ht="12.75">
      <c r="A31" s="96" t="s">
        <v>21</v>
      </c>
      <c r="B31" s="97">
        <v>0</v>
      </c>
      <c r="C31" s="97">
        <v>0</v>
      </c>
      <c r="D31" s="97">
        <v>0</v>
      </c>
      <c r="E31" s="98">
        <f t="shared" si="12"/>
        <v>0</v>
      </c>
      <c r="F31" s="99"/>
      <c r="G31" s="100">
        <f t="shared" si="31"/>
        <v>1</v>
      </c>
      <c r="H31" s="101">
        <f t="shared" si="0"/>
        <v>1</v>
      </c>
      <c r="I31" s="97">
        <v>0</v>
      </c>
      <c r="J31" s="102">
        <v>206697.05033000003</v>
      </c>
      <c r="K31" s="103">
        <v>178790.45033000002</v>
      </c>
      <c r="L31" s="97">
        <v>16788.03083333333</v>
      </c>
      <c r="M31" s="97">
        <v>0</v>
      </c>
      <c r="N31" s="98">
        <f t="shared" si="18"/>
        <v>0</v>
      </c>
      <c r="O31" s="99"/>
      <c r="P31" s="100">
        <f t="shared" si="33"/>
        <v>1</v>
      </c>
      <c r="Q31" s="101">
        <f t="shared" si="2"/>
        <v>1</v>
      </c>
      <c r="R31" s="104">
        <v>0</v>
      </c>
      <c r="S31" s="97">
        <v>206697.05033000003</v>
      </c>
      <c r="T31" s="105">
        <v>104529.11133</v>
      </c>
      <c r="U31" s="98">
        <f t="shared" si="3"/>
        <v>0</v>
      </c>
      <c r="V31" s="99"/>
      <c r="W31" s="100">
        <f t="shared" si="32"/>
        <v>1</v>
      </c>
      <c r="X31" s="101">
        <f t="shared" si="13"/>
        <v>1</v>
      </c>
      <c r="Y31" s="97">
        <v>0</v>
      </c>
      <c r="Z31" s="106">
        <v>0</v>
      </c>
      <c r="AA31" s="106">
        <v>0</v>
      </c>
      <c r="AB31" s="106">
        <v>0</v>
      </c>
      <c r="AC31" s="106">
        <f t="shared" si="5"/>
        <v>206697.05033000003</v>
      </c>
      <c r="AD31" s="106">
        <f t="shared" si="5"/>
        <v>178790.45033000002</v>
      </c>
      <c r="AE31" s="106">
        <f t="shared" si="5"/>
        <v>16788.03083333333</v>
      </c>
      <c r="AF31" s="106">
        <f t="shared" si="14"/>
        <v>11118.569166666675</v>
      </c>
      <c r="AG31" s="106">
        <f t="shared" si="30"/>
        <v>555.9284583333338</v>
      </c>
      <c r="AH31" s="106">
        <f t="shared" si="23"/>
        <v>555.9284583333338</v>
      </c>
      <c r="AI31" s="107">
        <f t="shared" si="22"/>
        <v>0</v>
      </c>
      <c r="AJ31" s="99"/>
      <c r="AK31" s="108">
        <f t="shared" si="29"/>
        <v>1.5</v>
      </c>
      <c r="AL31" s="101">
        <f t="shared" si="8"/>
        <v>1.5</v>
      </c>
      <c r="AM31" s="109">
        <v>6704.1</v>
      </c>
      <c r="AN31" s="100">
        <v>9738</v>
      </c>
      <c r="AO31" s="119">
        <f t="shared" si="9"/>
        <v>0.6884473197781886</v>
      </c>
      <c r="AP31" s="99"/>
      <c r="AQ31" s="108">
        <f t="shared" si="27"/>
        <v>1</v>
      </c>
      <c r="AR31" s="110">
        <f t="shared" si="15"/>
        <v>1</v>
      </c>
      <c r="AS31" s="109">
        <v>16738.6</v>
      </c>
      <c r="AT31" s="100">
        <v>23216</v>
      </c>
      <c r="AU31" s="107">
        <f t="shared" si="10"/>
        <v>0.7209941419710544</v>
      </c>
      <c r="AV31" s="99"/>
      <c r="AW31" s="108">
        <f t="shared" si="28"/>
        <v>1</v>
      </c>
      <c r="AX31" s="110">
        <f t="shared" si="11"/>
        <v>1</v>
      </c>
      <c r="AY31" s="111">
        <f t="shared" si="16"/>
        <v>6.5</v>
      </c>
      <c r="AZ31" s="115"/>
      <c r="BA31" s="94"/>
      <c r="BB31" s="71"/>
      <c r="BC31" s="85"/>
      <c r="BD31" s="71"/>
      <c r="BE31" s="87"/>
      <c r="BF31" s="87"/>
      <c r="BG31" s="87"/>
      <c r="BH31" s="71"/>
      <c r="BJ31" s="85"/>
      <c r="BK31" s="71"/>
      <c r="BL31" s="87"/>
      <c r="BM31" s="87"/>
      <c r="BN31" s="87"/>
      <c r="BO31" s="71"/>
    </row>
    <row r="32" spans="1:67" s="84" customFormat="1" ht="12.75">
      <c r="A32" s="96" t="s">
        <v>22</v>
      </c>
      <c r="B32" s="97">
        <v>0</v>
      </c>
      <c r="C32" s="97">
        <v>4245.1681</v>
      </c>
      <c r="D32" s="97">
        <v>0</v>
      </c>
      <c r="E32" s="98">
        <f t="shared" si="12"/>
        <v>0</v>
      </c>
      <c r="F32" s="99"/>
      <c r="G32" s="100">
        <f t="shared" si="31"/>
        <v>1</v>
      </c>
      <c r="H32" s="101">
        <f t="shared" si="0"/>
        <v>1</v>
      </c>
      <c r="I32" s="97">
        <v>0</v>
      </c>
      <c r="J32" s="102">
        <v>403880.49787</v>
      </c>
      <c r="K32" s="103">
        <v>284410.49787</v>
      </c>
      <c r="L32" s="97">
        <v>80287.8591549296</v>
      </c>
      <c r="M32" s="97">
        <v>0</v>
      </c>
      <c r="N32" s="98">
        <f t="shared" si="18"/>
        <v>0</v>
      </c>
      <c r="O32" s="99"/>
      <c r="P32" s="100">
        <f t="shared" si="33"/>
        <v>1</v>
      </c>
      <c r="Q32" s="101">
        <f t="shared" si="2"/>
        <v>1</v>
      </c>
      <c r="R32" s="104">
        <v>0</v>
      </c>
      <c r="S32" s="97">
        <v>408125.66597000003</v>
      </c>
      <c r="T32" s="105">
        <v>197112.08787000002</v>
      </c>
      <c r="U32" s="98">
        <f t="shared" si="3"/>
        <v>0</v>
      </c>
      <c r="V32" s="99"/>
      <c r="W32" s="100">
        <f t="shared" si="32"/>
        <v>1</v>
      </c>
      <c r="X32" s="101">
        <f t="shared" si="13"/>
        <v>1</v>
      </c>
      <c r="Y32" s="97">
        <v>-4245.1681</v>
      </c>
      <c r="Z32" s="106">
        <v>0</v>
      </c>
      <c r="AA32" s="106">
        <v>4245.1681</v>
      </c>
      <c r="AB32" s="106">
        <v>0</v>
      </c>
      <c r="AC32" s="106">
        <f t="shared" si="5"/>
        <v>403880.49787</v>
      </c>
      <c r="AD32" s="106">
        <f t="shared" si="5"/>
        <v>284410.49787</v>
      </c>
      <c r="AE32" s="106">
        <f t="shared" si="5"/>
        <v>80287.8591549296</v>
      </c>
      <c r="AF32" s="106">
        <f t="shared" si="14"/>
        <v>39182.140845070404</v>
      </c>
      <c r="AG32" s="106">
        <f t="shared" si="30"/>
        <v>1959.1070422535204</v>
      </c>
      <c r="AH32" s="106">
        <f t="shared" si="23"/>
        <v>6204.27514225352</v>
      </c>
      <c r="AI32" s="107">
        <f t="shared" si="22"/>
        <v>0</v>
      </c>
      <c r="AJ32" s="99"/>
      <c r="AK32" s="108">
        <f t="shared" si="29"/>
        <v>1.5</v>
      </c>
      <c r="AL32" s="101">
        <f t="shared" si="8"/>
        <v>1.5</v>
      </c>
      <c r="AM32" s="109">
        <v>12835.8</v>
      </c>
      <c r="AN32" s="100">
        <v>13953</v>
      </c>
      <c r="AO32" s="119">
        <f>AM32/AN32</f>
        <v>0.9199311975919157</v>
      </c>
      <c r="AP32" s="99"/>
      <c r="AQ32" s="108">
        <f t="shared" si="27"/>
        <v>1</v>
      </c>
      <c r="AR32" s="110">
        <f t="shared" si="15"/>
        <v>1</v>
      </c>
      <c r="AS32" s="109">
        <v>33011.2</v>
      </c>
      <c r="AT32" s="100">
        <v>33128</v>
      </c>
      <c r="AU32" s="107">
        <f t="shared" si="10"/>
        <v>0.9964742815744988</v>
      </c>
      <c r="AV32" s="99"/>
      <c r="AW32" s="108">
        <f t="shared" si="28"/>
        <v>1</v>
      </c>
      <c r="AX32" s="110">
        <f t="shared" si="11"/>
        <v>1</v>
      </c>
      <c r="AY32" s="111">
        <f t="shared" si="16"/>
        <v>6.5</v>
      </c>
      <c r="AZ32" s="115"/>
      <c r="BA32" s="94"/>
      <c r="BB32" s="71"/>
      <c r="BC32" s="85"/>
      <c r="BD32" s="71"/>
      <c r="BE32" s="87"/>
      <c r="BF32" s="87"/>
      <c r="BG32" s="87"/>
      <c r="BH32" s="71"/>
      <c r="BJ32" s="85"/>
      <c r="BK32" s="71"/>
      <c r="BL32" s="87"/>
      <c r="BM32" s="87"/>
      <c r="BN32" s="87"/>
      <c r="BO32" s="71"/>
    </row>
    <row r="33" spans="1:67" s="84" customFormat="1" ht="12.75">
      <c r="A33" s="96" t="s">
        <v>23</v>
      </c>
      <c r="B33" s="97">
        <v>0</v>
      </c>
      <c r="C33" s="97">
        <v>5858.8308799999995</v>
      </c>
      <c r="D33" s="97">
        <v>0</v>
      </c>
      <c r="E33" s="98">
        <f>IF(AND(B33=0,D33=0),0,B33/(IF(C33&gt;0,C33,0)+D33))</f>
        <v>0</v>
      </c>
      <c r="F33" s="99"/>
      <c r="G33" s="100">
        <f t="shared" si="31"/>
        <v>1</v>
      </c>
      <c r="H33" s="101">
        <f>F33+G33</f>
        <v>1</v>
      </c>
      <c r="I33" s="97">
        <v>0</v>
      </c>
      <c r="J33" s="102">
        <v>515066.68202</v>
      </c>
      <c r="K33" s="103">
        <v>376252.68202</v>
      </c>
      <c r="L33" s="97">
        <v>74906.25</v>
      </c>
      <c r="M33" s="97">
        <v>0</v>
      </c>
      <c r="N33" s="98">
        <f>(I33-M33)/(J33-K33-L33)</f>
        <v>0</v>
      </c>
      <c r="O33" s="99"/>
      <c r="P33" s="100">
        <f t="shared" si="33"/>
        <v>1</v>
      </c>
      <c r="Q33" s="101">
        <f>O33+P33</f>
        <v>1</v>
      </c>
      <c r="R33" s="104">
        <v>0</v>
      </c>
      <c r="S33" s="97">
        <v>520925.5129</v>
      </c>
      <c r="T33" s="105">
        <v>269059.2828</v>
      </c>
      <c r="U33" s="98">
        <f>R33/(S33-T33)</f>
        <v>0</v>
      </c>
      <c r="V33" s="99"/>
      <c r="W33" s="100">
        <f t="shared" si="32"/>
        <v>1</v>
      </c>
      <c r="X33" s="101">
        <f t="shared" si="13"/>
        <v>1</v>
      </c>
      <c r="Y33" s="97">
        <v>-5858.8308799999995</v>
      </c>
      <c r="Z33" s="106">
        <v>0</v>
      </c>
      <c r="AA33" s="106">
        <v>5858.8308799999995</v>
      </c>
      <c r="AB33" s="106">
        <v>0</v>
      </c>
      <c r="AC33" s="106">
        <f>J33</f>
        <v>515066.68202</v>
      </c>
      <c r="AD33" s="106">
        <f>K33</f>
        <v>376252.68202</v>
      </c>
      <c r="AE33" s="106">
        <f>L33</f>
        <v>74906.25</v>
      </c>
      <c r="AF33" s="106">
        <f>AC33-AD33-AE33</f>
        <v>63907.75</v>
      </c>
      <c r="AG33" s="106">
        <f>AF33*10%</f>
        <v>6390.775000000001</v>
      </c>
      <c r="AH33" s="106">
        <f>IF(AA33&gt;0,AA33,0)+AG33+IF(AB33&gt;0,AB33,0)</f>
        <v>12249.60588</v>
      </c>
      <c r="AI33" s="107">
        <f>IF((Y33-IF(Z33&gt;0,Z33,0)-IF(AA33&gt;0,AA33,0)-IF(AB33&gt;0,AB33,0))/(AC33-AD33-AE33)&gt;0,(Y33-IF(Z33&gt;0,Z33,0)-IF(AA33&gt;0,AA33,0)-IF(AB33&gt;0,AB33,0))/(AC33-AD33-AE33),0)</f>
        <v>0</v>
      </c>
      <c r="AJ33" s="112"/>
      <c r="AK33" s="108">
        <f t="shared" si="29"/>
        <v>1.5</v>
      </c>
      <c r="AL33" s="101">
        <f>AJ33+AK33</f>
        <v>1.5</v>
      </c>
      <c r="AM33" s="109">
        <v>15045.8</v>
      </c>
      <c r="AN33" s="100">
        <v>16894</v>
      </c>
      <c r="AO33" s="119">
        <f>AM33/AN33</f>
        <v>0.8906002130934059</v>
      </c>
      <c r="AP33" s="112"/>
      <c r="AQ33" s="108">
        <f t="shared" si="27"/>
        <v>1</v>
      </c>
      <c r="AR33" s="110">
        <f>AP33+AQ33</f>
        <v>1</v>
      </c>
      <c r="AS33" s="109">
        <v>34643.4</v>
      </c>
      <c r="AT33" s="100">
        <v>38668</v>
      </c>
      <c r="AU33" s="107">
        <f t="shared" si="10"/>
        <v>0.895919106237716</v>
      </c>
      <c r="AV33" s="112"/>
      <c r="AW33" s="108">
        <f t="shared" si="28"/>
        <v>1</v>
      </c>
      <c r="AX33" s="110">
        <f t="shared" si="11"/>
        <v>1</v>
      </c>
      <c r="AY33" s="111">
        <f t="shared" si="16"/>
        <v>6.5</v>
      </c>
      <c r="AZ33" s="115"/>
      <c r="BA33" s="94"/>
      <c r="BB33" s="71"/>
      <c r="BC33" s="85"/>
      <c r="BD33" s="71"/>
      <c r="BE33" s="87"/>
      <c r="BF33" s="87"/>
      <c r="BG33" s="87"/>
      <c r="BH33" s="71"/>
      <c r="BJ33" s="85"/>
      <c r="BK33" s="71"/>
      <c r="BL33" s="87"/>
      <c r="BM33" s="87"/>
      <c r="BN33" s="87"/>
      <c r="BO33" s="71"/>
    </row>
    <row r="34" spans="1:67" s="84" customFormat="1" ht="12.75">
      <c r="A34" s="96" t="s">
        <v>24</v>
      </c>
      <c r="B34" s="97">
        <v>0</v>
      </c>
      <c r="C34" s="97">
        <v>3605.403</v>
      </c>
      <c r="D34" s="97">
        <v>0</v>
      </c>
      <c r="E34" s="98">
        <f t="shared" si="12"/>
        <v>0</v>
      </c>
      <c r="F34" s="99"/>
      <c r="G34" s="100">
        <f t="shared" si="31"/>
        <v>1</v>
      </c>
      <c r="H34" s="101">
        <f t="shared" si="0"/>
        <v>1</v>
      </c>
      <c r="I34" s="97">
        <v>0</v>
      </c>
      <c r="J34" s="102">
        <v>123564.93195</v>
      </c>
      <c r="K34" s="103">
        <v>85056.93195</v>
      </c>
      <c r="L34" s="97">
        <v>23790.810344827587</v>
      </c>
      <c r="M34" s="97">
        <v>0</v>
      </c>
      <c r="N34" s="98">
        <f t="shared" si="18"/>
        <v>0</v>
      </c>
      <c r="O34" s="99"/>
      <c r="P34" s="100">
        <f t="shared" si="33"/>
        <v>1</v>
      </c>
      <c r="Q34" s="101">
        <f t="shared" si="2"/>
        <v>1</v>
      </c>
      <c r="R34" s="104">
        <v>0</v>
      </c>
      <c r="S34" s="97">
        <v>127170.33495</v>
      </c>
      <c r="T34" s="105">
        <v>62553.78294999999</v>
      </c>
      <c r="U34" s="98">
        <f t="shared" si="3"/>
        <v>0</v>
      </c>
      <c r="V34" s="99"/>
      <c r="W34" s="100">
        <f t="shared" si="32"/>
        <v>1</v>
      </c>
      <c r="X34" s="101">
        <f t="shared" si="13"/>
        <v>1</v>
      </c>
      <c r="Y34" s="97">
        <v>-3605.403</v>
      </c>
      <c r="Z34" s="106">
        <v>0</v>
      </c>
      <c r="AA34" s="106">
        <v>3605.403</v>
      </c>
      <c r="AB34" s="106">
        <v>0</v>
      </c>
      <c r="AC34" s="106">
        <f t="shared" si="5"/>
        <v>123564.93195</v>
      </c>
      <c r="AD34" s="106">
        <f t="shared" si="5"/>
        <v>85056.93195</v>
      </c>
      <c r="AE34" s="106">
        <f t="shared" si="5"/>
        <v>23790.810344827587</v>
      </c>
      <c r="AF34" s="106">
        <f t="shared" si="14"/>
        <v>14717.189655172413</v>
      </c>
      <c r="AG34" s="106">
        <f aca="true" t="shared" si="34" ref="AG34:AG39">AF34*5%</f>
        <v>735.8594827586207</v>
      </c>
      <c r="AH34" s="106">
        <f t="shared" si="23"/>
        <v>4341.2624827586205</v>
      </c>
      <c r="AI34" s="107">
        <f t="shared" si="22"/>
        <v>0</v>
      </c>
      <c r="AJ34" s="112"/>
      <c r="AK34" s="108">
        <f t="shared" si="29"/>
        <v>1.5</v>
      </c>
      <c r="AL34" s="101">
        <f t="shared" si="8"/>
        <v>1.5</v>
      </c>
      <c r="AM34" s="109">
        <v>5466.5</v>
      </c>
      <c r="AN34" s="100">
        <v>9587</v>
      </c>
      <c r="AO34" s="119">
        <f t="shared" si="9"/>
        <v>0.5701992281214144</v>
      </c>
      <c r="AP34" s="112"/>
      <c r="AQ34" s="108">
        <f t="shared" si="27"/>
        <v>1</v>
      </c>
      <c r="AR34" s="110">
        <f>AP34+AQ34</f>
        <v>1</v>
      </c>
      <c r="AS34" s="109">
        <v>16087.5</v>
      </c>
      <c r="AT34" s="100">
        <v>24201</v>
      </c>
      <c r="AU34" s="107">
        <f t="shared" si="10"/>
        <v>0.6647452584603942</v>
      </c>
      <c r="AV34" s="112"/>
      <c r="AW34" s="108">
        <f t="shared" si="28"/>
        <v>1</v>
      </c>
      <c r="AX34" s="110">
        <f t="shared" si="11"/>
        <v>1</v>
      </c>
      <c r="AY34" s="111">
        <f t="shared" si="16"/>
        <v>6.5</v>
      </c>
      <c r="AZ34" s="115"/>
      <c r="BA34" s="94"/>
      <c r="BB34" s="71"/>
      <c r="BC34" s="85"/>
      <c r="BD34" s="71"/>
      <c r="BE34" s="87"/>
      <c r="BF34" s="87"/>
      <c r="BG34" s="87"/>
      <c r="BH34" s="71"/>
      <c r="BJ34" s="85"/>
      <c r="BK34" s="71"/>
      <c r="BL34" s="87"/>
      <c r="BM34" s="87"/>
      <c r="BN34" s="87"/>
      <c r="BO34" s="71"/>
    </row>
    <row r="35" spans="1:67" s="84" customFormat="1" ht="12.75">
      <c r="A35" s="60" t="s">
        <v>25</v>
      </c>
      <c r="B35" s="37">
        <v>0</v>
      </c>
      <c r="C35" s="37">
        <v>920.397</v>
      </c>
      <c r="D35" s="37">
        <v>0</v>
      </c>
      <c r="E35" s="61">
        <f>IF(AND(B35=0,D35=0),0,B35/(IF(C35&gt;0,C35,0)+D35))</f>
        <v>0</v>
      </c>
      <c r="F35" s="7">
        <f>IF(E35&lt;=1.05,1,0)</f>
        <v>1</v>
      </c>
      <c r="G35" s="55"/>
      <c r="H35" s="56">
        <f t="shared" si="0"/>
        <v>1</v>
      </c>
      <c r="I35" s="37">
        <v>0</v>
      </c>
      <c r="J35" s="74">
        <v>275266.2566</v>
      </c>
      <c r="K35" s="95">
        <v>191430.6226</v>
      </c>
      <c r="L35" s="37">
        <v>31600.32897560976</v>
      </c>
      <c r="M35" s="37">
        <v>0</v>
      </c>
      <c r="N35" s="61">
        <f t="shared" si="18"/>
        <v>0</v>
      </c>
      <c r="O35" s="7">
        <f>IF(N35&lt;=1,1,0)</f>
        <v>1</v>
      </c>
      <c r="P35" s="55"/>
      <c r="Q35" s="56">
        <f t="shared" si="2"/>
        <v>1</v>
      </c>
      <c r="R35" s="34">
        <v>0</v>
      </c>
      <c r="S35" s="37">
        <v>276186.6536</v>
      </c>
      <c r="T35" s="53">
        <v>114485.9236</v>
      </c>
      <c r="U35" s="61">
        <f t="shared" si="3"/>
        <v>0</v>
      </c>
      <c r="V35" s="7">
        <f>IF(U35&lt;=0.15,1,0)</f>
        <v>1</v>
      </c>
      <c r="W35" s="55"/>
      <c r="X35" s="56">
        <f t="shared" si="13"/>
        <v>1</v>
      </c>
      <c r="Y35" s="37">
        <v>-920.397</v>
      </c>
      <c r="Z35" s="35">
        <v>0</v>
      </c>
      <c r="AA35" s="35">
        <v>920.397</v>
      </c>
      <c r="AB35" s="35">
        <v>0</v>
      </c>
      <c r="AC35" s="35">
        <f t="shared" si="5"/>
        <v>275266.2566</v>
      </c>
      <c r="AD35" s="35">
        <f t="shared" si="5"/>
        <v>191430.6226</v>
      </c>
      <c r="AE35" s="35">
        <f t="shared" si="5"/>
        <v>31600.32897560976</v>
      </c>
      <c r="AF35" s="35">
        <f t="shared" si="14"/>
        <v>52235.30502439026</v>
      </c>
      <c r="AG35" s="54">
        <f t="shared" si="34"/>
        <v>2611.765251219513</v>
      </c>
      <c r="AH35" s="35">
        <f t="shared" si="23"/>
        <v>3532.162251219513</v>
      </c>
      <c r="AI35" s="77">
        <f t="shared" si="22"/>
        <v>0</v>
      </c>
      <c r="AJ35" s="33">
        <f>IF(AI35&lt;=0.1,1.5,0)</f>
        <v>1.5</v>
      </c>
      <c r="AK35" s="79"/>
      <c r="AL35" s="56">
        <f t="shared" si="8"/>
        <v>1.5</v>
      </c>
      <c r="AM35" s="57">
        <v>10446.2</v>
      </c>
      <c r="AN35" s="55">
        <v>11794</v>
      </c>
      <c r="AO35" s="120">
        <f t="shared" si="9"/>
        <v>0.8857215533322029</v>
      </c>
      <c r="AP35" s="32">
        <f>IF(AO35&lt;=1,1,0)</f>
        <v>1</v>
      </c>
      <c r="AQ35" s="79"/>
      <c r="AR35" s="80">
        <f t="shared" si="15"/>
        <v>1</v>
      </c>
      <c r="AS35" s="57">
        <v>26623.4</v>
      </c>
      <c r="AT35" s="55">
        <v>29118</v>
      </c>
      <c r="AU35" s="77">
        <f t="shared" si="10"/>
        <v>0.9143279071364792</v>
      </c>
      <c r="AV35" s="32">
        <f>IF(AU35&lt;=1,1,0)</f>
        <v>1</v>
      </c>
      <c r="AW35" s="79"/>
      <c r="AX35" s="80">
        <f t="shared" si="11"/>
        <v>1</v>
      </c>
      <c r="AY35" s="81">
        <f t="shared" si="16"/>
        <v>6.5</v>
      </c>
      <c r="AZ35" s="115"/>
      <c r="BA35" s="94"/>
      <c r="BB35" s="71"/>
      <c r="BC35" s="85"/>
      <c r="BD35" s="71"/>
      <c r="BE35" s="87"/>
      <c r="BF35" s="87"/>
      <c r="BG35" s="87"/>
      <c r="BH35" s="71"/>
      <c r="BJ35" s="85"/>
      <c r="BK35" s="71"/>
      <c r="BL35" s="87"/>
      <c r="BM35" s="87"/>
      <c r="BN35" s="87"/>
      <c r="BO35" s="71"/>
    </row>
    <row r="36" spans="1:67" s="84" customFormat="1" ht="12.75">
      <c r="A36" s="60" t="s">
        <v>26</v>
      </c>
      <c r="B36" s="37">
        <v>0</v>
      </c>
      <c r="C36" s="37">
        <v>12621.385</v>
      </c>
      <c r="D36" s="37">
        <v>0</v>
      </c>
      <c r="E36" s="61">
        <f t="shared" si="12"/>
        <v>0</v>
      </c>
      <c r="F36" s="36">
        <f>IF(E36&lt;=1.05,1,0)</f>
        <v>1</v>
      </c>
      <c r="G36" s="55"/>
      <c r="H36" s="56">
        <f t="shared" si="0"/>
        <v>1</v>
      </c>
      <c r="I36" s="37">
        <v>0</v>
      </c>
      <c r="J36" s="74">
        <v>315090.07091</v>
      </c>
      <c r="K36" s="95">
        <v>204856.97091</v>
      </c>
      <c r="L36" s="37">
        <v>55739.34328358209</v>
      </c>
      <c r="M36" s="37">
        <v>0</v>
      </c>
      <c r="N36" s="61">
        <f t="shared" si="18"/>
        <v>0</v>
      </c>
      <c r="O36" s="36">
        <f>IF(N36&lt;=1,1,0)</f>
        <v>1</v>
      </c>
      <c r="P36" s="55"/>
      <c r="Q36" s="56">
        <f t="shared" si="2"/>
        <v>1</v>
      </c>
      <c r="R36" s="34">
        <v>0</v>
      </c>
      <c r="S36" s="37">
        <v>327711.45591</v>
      </c>
      <c r="T36" s="53">
        <v>144638.75291000004</v>
      </c>
      <c r="U36" s="61">
        <f t="shared" si="3"/>
        <v>0</v>
      </c>
      <c r="V36" s="36">
        <f>IF(U36&lt;=0.15,1,0)</f>
        <v>1</v>
      </c>
      <c r="W36" s="55"/>
      <c r="X36" s="56">
        <f t="shared" si="13"/>
        <v>1</v>
      </c>
      <c r="Y36" s="37">
        <v>-12621.385</v>
      </c>
      <c r="Z36" s="35">
        <v>0</v>
      </c>
      <c r="AA36" s="35">
        <v>12621.385</v>
      </c>
      <c r="AB36" s="35">
        <v>0</v>
      </c>
      <c r="AC36" s="35">
        <f t="shared" si="5"/>
        <v>315090.07091</v>
      </c>
      <c r="AD36" s="35">
        <f t="shared" si="5"/>
        <v>204856.97091</v>
      </c>
      <c r="AE36" s="35">
        <f t="shared" si="5"/>
        <v>55739.34328358209</v>
      </c>
      <c r="AF36" s="35">
        <f t="shared" si="14"/>
        <v>54493.75671641791</v>
      </c>
      <c r="AG36" s="35">
        <f t="shared" si="34"/>
        <v>2724.687835820896</v>
      </c>
      <c r="AH36" s="35">
        <f t="shared" si="23"/>
        <v>15346.072835820896</v>
      </c>
      <c r="AI36" s="77">
        <f t="shared" si="22"/>
        <v>0</v>
      </c>
      <c r="AJ36" s="33">
        <f>IF(AI36&lt;=0.1,1.5,0)</f>
        <v>1.5</v>
      </c>
      <c r="AK36" s="79"/>
      <c r="AL36" s="56">
        <f t="shared" si="8"/>
        <v>1.5</v>
      </c>
      <c r="AM36" s="57">
        <v>10828.8</v>
      </c>
      <c r="AN36" s="55">
        <v>11047</v>
      </c>
      <c r="AO36" s="120">
        <f t="shared" si="9"/>
        <v>0.9802480311396758</v>
      </c>
      <c r="AP36" s="33">
        <f>IF(AO36&lt;=1,1,0)</f>
        <v>1</v>
      </c>
      <c r="AQ36" s="79"/>
      <c r="AR36" s="80">
        <f t="shared" si="15"/>
        <v>1</v>
      </c>
      <c r="AS36" s="57">
        <v>26142</v>
      </c>
      <c r="AT36" s="55">
        <v>26142</v>
      </c>
      <c r="AU36" s="77">
        <f t="shared" si="10"/>
        <v>1</v>
      </c>
      <c r="AV36" s="33">
        <f>IF(AU36&lt;=1,1,0)</f>
        <v>1</v>
      </c>
      <c r="AW36" s="79"/>
      <c r="AX36" s="80">
        <f t="shared" si="11"/>
        <v>1</v>
      </c>
      <c r="AY36" s="81">
        <f t="shared" si="16"/>
        <v>6.5</v>
      </c>
      <c r="AZ36" s="115"/>
      <c r="BA36" s="94"/>
      <c r="BB36" s="71"/>
      <c r="BC36" s="85"/>
      <c r="BD36" s="71"/>
      <c r="BE36" s="87"/>
      <c r="BF36" s="87"/>
      <c r="BG36" s="87"/>
      <c r="BH36" s="71"/>
      <c r="BJ36" s="85"/>
      <c r="BK36" s="71"/>
      <c r="BL36" s="87"/>
      <c r="BM36" s="87"/>
      <c r="BN36" s="87"/>
      <c r="BO36" s="71"/>
    </row>
    <row r="37" spans="1:67" s="84" customFormat="1" ht="12.75">
      <c r="A37" s="96" t="s">
        <v>27</v>
      </c>
      <c r="B37" s="97">
        <v>0</v>
      </c>
      <c r="C37" s="97">
        <v>1819.60094</v>
      </c>
      <c r="D37" s="97">
        <v>0</v>
      </c>
      <c r="E37" s="98">
        <f t="shared" si="12"/>
        <v>0</v>
      </c>
      <c r="F37" s="99"/>
      <c r="G37" s="100">
        <f t="shared" si="31"/>
        <v>1</v>
      </c>
      <c r="H37" s="101">
        <f t="shared" si="0"/>
        <v>1</v>
      </c>
      <c r="I37" s="97">
        <v>0</v>
      </c>
      <c r="J37" s="102">
        <v>232335.4942</v>
      </c>
      <c r="K37" s="103">
        <v>161105.7492</v>
      </c>
      <c r="L37" s="97">
        <v>45477.44782608696</v>
      </c>
      <c r="M37" s="97">
        <v>0</v>
      </c>
      <c r="N37" s="98">
        <f t="shared" si="18"/>
        <v>0</v>
      </c>
      <c r="O37" s="99"/>
      <c r="P37" s="100">
        <f t="shared" si="33"/>
        <v>1</v>
      </c>
      <c r="Q37" s="101">
        <f t="shared" si="2"/>
        <v>1</v>
      </c>
      <c r="R37" s="104">
        <v>0</v>
      </c>
      <c r="S37" s="97">
        <v>234155.09514</v>
      </c>
      <c r="T37" s="105">
        <v>98388.8002</v>
      </c>
      <c r="U37" s="98">
        <f t="shared" si="3"/>
        <v>0</v>
      </c>
      <c r="V37" s="99"/>
      <c r="W37" s="100">
        <f t="shared" si="32"/>
        <v>1</v>
      </c>
      <c r="X37" s="101">
        <f t="shared" si="13"/>
        <v>1</v>
      </c>
      <c r="Y37" s="97">
        <v>-1819.60094</v>
      </c>
      <c r="Z37" s="106">
        <v>0</v>
      </c>
      <c r="AA37" s="106">
        <v>1819.60094</v>
      </c>
      <c r="AB37" s="106">
        <v>0</v>
      </c>
      <c r="AC37" s="106">
        <f t="shared" si="5"/>
        <v>232335.4942</v>
      </c>
      <c r="AD37" s="106">
        <f t="shared" si="5"/>
        <v>161105.7492</v>
      </c>
      <c r="AE37" s="106">
        <f t="shared" si="5"/>
        <v>45477.44782608696</v>
      </c>
      <c r="AF37" s="106">
        <f t="shared" si="14"/>
        <v>25752.297173913037</v>
      </c>
      <c r="AG37" s="106">
        <f t="shared" si="34"/>
        <v>1287.614858695652</v>
      </c>
      <c r="AH37" s="106">
        <f t="shared" si="23"/>
        <v>3107.2157986956518</v>
      </c>
      <c r="AI37" s="107">
        <f t="shared" si="22"/>
        <v>0</v>
      </c>
      <c r="AJ37" s="99"/>
      <c r="AK37" s="108">
        <f>IF(AI37&lt;=0.05,1.5,0)</f>
        <v>1.5</v>
      </c>
      <c r="AL37" s="101">
        <f t="shared" si="8"/>
        <v>1.5</v>
      </c>
      <c r="AM37" s="109">
        <v>9590.6</v>
      </c>
      <c r="AN37" s="100">
        <v>11794</v>
      </c>
      <c r="AO37" s="119">
        <f t="shared" si="9"/>
        <v>0.8131761912837037</v>
      </c>
      <c r="AP37" s="99"/>
      <c r="AQ37" s="108">
        <f>IF(AO37&lt;=1,1,0)</f>
        <v>1</v>
      </c>
      <c r="AR37" s="110">
        <f t="shared" si="15"/>
        <v>1</v>
      </c>
      <c r="AS37" s="109">
        <v>25278.7</v>
      </c>
      <c r="AT37" s="100">
        <v>29118</v>
      </c>
      <c r="AU37" s="107">
        <f t="shared" si="10"/>
        <v>0.8681468507452436</v>
      </c>
      <c r="AV37" s="99"/>
      <c r="AW37" s="108">
        <f>IF(AU37&lt;=1,1,0)</f>
        <v>1</v>
      </c>
      <c r="AX37" s="110">
        <f t="shared" si="11"/>
        <v>1</v>
      </c>
      <c r="AY37" s="111">
        <f t="shared" si="16"/>
        <v>6.5</v>
      </c>
      <c r="AZ37" s="115"/>
      <c r="BA37" s="94"/>
      <c r="BB37" s="71"/>
      <c r="BC37" s="85"/>
      <c r="BD37" s="71"/>
      <c r="BE37" s="87"/>
      <c r="BF37" s="87"/>
      <c r="BG37" s="87"/>
      <c r="BH37" s="71"/>
      <c r="BJ37" s="85"/>
      <c r="BK37" s="71"/>
      <c r="BL37" s="87"/>
      <c r="BM37" s="87"/>
      <c r="BN37" s="87"/>
      <c r="BO37" s="71"/>
    </row>
    <row r="38" spans="1:67" s="84" customFormat="1" ht="12.75">
      <c r="A38" s="96" t="s">
        <v>28</v>
      </c>
      <c r="B38" s="97">
        <v>0</v>
      </c>
      <c r="C38" s="97">
        <v>886.51194</v>
      </c>
      <c r="D38" s="97">
        <v>0</v>
      </c>
      <c r="E38" s="98">
        <f t="shared" si="12"/>
        <v>0</v>
      </c>
      <c r="F38" s="99"/>
      <c r="G38" s="100">
        <f t="shared" si="31"/>
        <v>1</v>
      </c>
      <c r="H38" s="101">
        <f t="shared" si="0"/>
        <v>1</v>
      </c>
      <c r="I38" s="97">
        <v>0</v>
      </c>
      <c r="J38" s="102">
        <v>358109.04995</v>
      </c>
      <c r="K38" s="103">
        <v>261136.04995</v>
      </c>
      <c r="L38" s="97">
        <v>58162.207547169804</v>
      </c>
      <c r="M38" s="97">
        <v>0</v>
      </c>
      <c r="N38" s="98">
        <f t="shared" si="18"/>
        <v>0</v>
      </c>
      <c r="O38" s="99"/>
      <c r="P38" s="100">
        <f t="shared" si="33"/>
        <v>1</v>
      </c>
      <c r="Q38" s="101">
        <f t="shared" si="2"/>
        <v>1</v>
      </c>
      <c r="R38" s="104">
        <v>0</v>
      </c>
      <c r="S38" s="97">
        <v>358995.56189</v>
      </c>
      <c r="T38" s="105">
        <v>172081.95095000003</v>
      </c>
      <c r="U38" s="98">
        <f t="shared" si="3"/>
        <v>0</v>
      </c>
      <c r="V38" s="99"/>
      <c r="W38" s="100">
        <f t="shared" si="32"/>
        <v>1</v>
      </c>
      <c r="X38" s="101">
        <f t="shared" si="13"/>
        <v>1</v>
      </c>
      <c r="Y38" s="97">
        <v>-886.51194</v>
      </c>
      <c r="Z38" s="106">
        <v>0</v>
      </c>
      <c r="AA38" s="106">
        <v>886.51194</v>
      </c>
      <c r="AB38" s="106">
        <v>0</v>
      </c>
      <c r="AC38" s="106">
        <f t="shared" si="5"/>
        <v>358109.04995</v>
      </c>
      <c r="AD38" s="106">
        <f t="shared" si="5"/>
        <v>261136.04995</v>
      </c>
      <c r="AE38" s="106">
        <f t="shared" si="5"/>
        <v>58162.207547169804</v>
      </c>
      <c r="AF38" s="106">
        <f t="shared" si="14"/>
        <v>38810.792452830225</v>
      </c>
      <c r="AG38" s="106">
        <f t="shared" si="34"/>
        <v>1940.5396226415114</v>
      </c>
      <c r="AH38" s="106">
        <f t="shared" si="23"/>
        <v>2827.0515626415113</v>
      </c>
      <c r="AI38" s="107">
        <f t="shared" si="22"/>
        <v>0</v>
      </c>
      <c r="AJ38" s="99"/>
      <c r="AK38" s="108">
        <f>IF(AI38&lt;=0.05,1.5,0)</f>
        <v>1.5</v>
      </c>
      <c r="AL38" s="101">
        <f t="shared" si="8"/>
        <v>1.5</v>
      </c>
      <c r="AM38" s="109">
        <v>13773.8</v>
      </c>
      <c r="AN38" s="100">
        <v>13953</v>
      </c>
      <c r="AO38" s="119">
        <f t="shared" si="9"/>
        <v>0.9871568838242671</v>
      </c>
      <c r="AP38" s="99"/>
      <c r="AQ38" s="108">
        <f>IF(AO38&lt;=1,1,0)</f>
        <v>1</v>
      </c>
      <c r="AR38" s="110">
        <f t="shared" si="15"/>
        <v>1</v>
      </c>
      <c r="AS38" s="109">
        <v>33127.7</v>
      </c>
      <c r="AT38" s="100">
        <v>33128</v>
      </c>
      <c r="AU38" s="107">
        <f t="shared" si="10"/>
        <v>0.9999909442163728</v>
      </c>
      <c r="AV38" s="99"/>
      <c r="AW38" s="108">
        <f>IF(AU38&lt;=1,1,0)</f>
        <v>1</v>
      </c>
      <c r="AX38" s="110">
        <f t="shared" si="11"/>
        <v>1</v>
      </c>
      <c r="AY38" s="111">
        <f t="shared" si="16"/>
        <v>6.5</v>
      </c>
      <c r="AZ38" s="115"/>
      <c r="BA38" s="94"/>
      <c r="BB38" s="71"/>
      <c r="BC38" s="85"/>
      <c r="BD38" s="71"/>
      <c r="BE38" s="87"/>
      <c r="BF38" s="87"/>
      <c r="BG38" s="87"/>
      <c r="BH38" s="71"/>
      <c r="BJ38" s="85"/>
      <c r="BK38" s="71"/>
      <c r="BL38" s="87"/>
      <c r="BM38" s="87"/>
      <c r="BN38" s="87"/>
      <c r="BO38" s="71"/>
    </row>
    <row r="39" spans="1:66" ht="12.75">
      <c r="A39" s="96" t="s">
        <v>29</v>
      </c>
      <c r="B39" s="97">
        <v>750</v>
      </c>
      <c r="C39" s="97">
        <v>367.26402</v>
      </c>
      <c r="D39" s="97">
        <v>2250</v>
      </c>
      <c r="E39" s="98">
        <f t="shared" si="12"/>
        <v>0.2865587859187397</v>
      </c>
      <c r="F39" s="99"/>
      <c r="G39" s="100">
        <f t="shared" si="31"/>
        <v>1</v>
      </c>
      <c r="H39" s="101">
        <f>F39+G39</f>
        <v>1</v>
      </c>
      <c r="I39" s="97">
        <v>2000</v>
      </c>
      <c r="J39" s="102">
        <v>400248.27197</v>
      </c>
      <c r="K39" s="103">
        <v>291545.26197000005</v>
      </c>
      <c r="L39" s="97">
        <v>63505.046511627916</v>
      </c>
      <c r="M39" s="97">
        <v>0</v>
      </c>
      <c r="N39" s="98">
        <f t="shared" si="18"/>
        <v>0.04424978130960557</v>
      </c>
      <c r="O39" s="99"/>
      <c r="P39" s="100">
        <f t="shared" si="33"/>
        <v>1</v>
      </c>
      <c r="Q39" s="101">
        <f>O39+P39</f>
        <v>1</v>
      </c>
      <c r="R39" s="104">
        <v>273.82</v>
      </c>
      <c r="S39" s="97">
        <v>400615.53599</v>
      </c>
      <c r="T39" s="105">
        <v>167728.53287</v>
      </c>
      <c r="U39" s="98">
        <f t="shared" si="3"/>
        <v>0.0011757633372906963</v>
      </c>
      <c r="V39" s="99"/>
      <c r="W39" s="100">
        <f t="shared" si="32"/>
        <v>1</v>
      </c>
      <c r="X39" s="101">
        <f t="shared" si="13"/>
        <v>1</v>
      </c>
      <c r="Y39" s="97">
        <v>-367.26402</v>
      </c>
      <c r="Z39" s="106">
        <v>0</v>
      </c>
      <c r="AA39" s="106">
        <v>1867.26402</v>
      </c>
      <c r="AB39" s="106">
        <v>0</v>
      </c>
      <c r="AC39" s="106">
        <f t="shared" si="5"/>
        <v>400248.27197</v>
      </c>
      <c r="AD39" s="106">
        <f t="shared" si="5"/>
        <v>291545.26197000005</v>
      </c>
      <c r="AE39" s="106">
        <f t="shared" si="5"/>
        <v>63505.046511627916</v>
      </c>
      <c r="AF39" s="106">
        <f t="shared" si="14"/>
        <v>45197.963488372035</v>
      </c>
      <c r="AG39" s="106">
        <f t="shared" si="34"/>
        <v>2259.8981744186017</v>
      </c>
      <c r="AH39" s="106">
        <f t="shared" si="23"/>
        <v>4127.162194418602</v>
      </c>
      <c r="AI39" s="107">
        <f t="shared" si="22"/>
        <v>0</v>
      </c>
      <c r="AJ39" s="112"/>
      <c r="AK39" s="108">
        <f>IF(AI39&lt;=0.05,1.5,0)</f>
        <v>1.5</v>
      </c>
      <c r="AL39" s="101">
        <f t="shared" si="8"/>
        <v>1.5</v>
      </c>
      <c r="AM39" s="109">
        <v>15453.3</v>
      </c>
      <c r="AN39" s="100">
        <v>16894</v>
      </c>
      <c r="AO39" s="119">
        <f t="shared" si="9"/>
        <v>0.9147212027938912</v>
      </c>
      <c r="AP39" s="112"/>
      <c r="AQ39" s="108">
        <f>IF(AO39&lt;=1,1,0)</f>
        <v>1</v>
      </c>
      <c r="AR39" s="110">
        <f>AP39+AQ39</f>
        <v>1</v>
      </c>
      <c r="AS39" s="109">
        <v>33761.3</v>
      </c>
      <c r="AT39" s="100">
        <v>38668</v>
      </c>
      <c r="AU39" s="107">
        <f t="shared" si="10"/>
        <v>0.8731069618289026</v>
      </c>
      <c r="AV39" s="112"/>
      <c r="AW39" s="108">
        <f>IF(AU39&lt;=1,1,0)</f>
        <v>1</v>
      </c>
      <c r="AX39" s="110">
        <f t="shared" si="11"/>
        <v>1</v>
      </c>
      <c r="AY39" s="111">
        <f t="shared" si="16"/>
        <v>6.5</v>
      </c>
      <c r="AZ39" s="115"/>
      <c r="BA39" s="94"/>
      <c r="BC39" s="85"/>
      <c r="BE39" s="87"/>
      <c r="BF39" s="87"/>
      <c r="BG39" s="87"/>
      <c r="BJ39" s="85"/>
      <c r="BL39" s="87"/>
      <c r="BM39" s="87"/>
      <c r="BN39" s="87"/>
    </row>
    <row r="40" spans="1:66" ht="12.75">
      <c r="A40" s="96" t="s">
        <v>30</v>
      </c>
      <c r="B40" s="97">
        <v>0</v>
      </c>
      <c r="C40" s="97">
        <v>10158.91889</v>
      </c>
      <c r="D40" s="97">
        <v>0</v>
      </c>
      <c r="E40" s="98">
        <f t="shared" si="12"/>
        <v>0</v>
      </c>
      <c r="F40" s="99"/>
      <c r="G40" s="100">
        <f>IF(E40&lt;=1.05,1,0)</f>
        <v>1</v>
      </c>
      <c r="H40" s="101">
        <f t="shared" si="0"/>
        <v>1</v>
      </c>
      <c r="I40" s="97">
        <v>0</v>
      </c>
      <c r="J40" s="102">
        <v>471991.56925</v>
      </c>
      <c r="K40" s="103">
        <v>303383.56925</v>
      </c>
      <c r="L40" s="97">
        <v>93522.54347826088</v>
      </c>
      <c r="M40" s="97">
        <v>0</v>
      </c>
      <c r="N40" s="98">
        <f t="shared" si="18"/>
        <v>0</v>
      </c>
      <c r="O40" s="99"/>
      <c r="P40" s="100">
        <f>IF(N40&lt;=0.5,1,0)</f>
        <v>1</v>
      </c>
      <c r="Q40" s="101">
        <f t="shared" si="2"/>
        <v>1</v>
      </c>
      <c r="R40" s="104">
        <v>0</v>
      </c>
      <c r="S40" s="97">
        <v>482150.48814</v>
      </c>
      <c r="T40" s="105">
        <v>236022.42625</v>
      </c>
      <c r="U40" s="98">
        <f t="shared" si="3"/>
        <v>0</v>
      </c>
      <c r="V40" s="99"/>
      <c r="W40" s="100">
        <f>IF(U40&lt;=0.15,1,0)</f>
        <v>1</v>
      </c>
      <c r="X40" s="101">
        <f t="shared" si="13"/>
        <v>1</v>
      </c>
      <c r="Y40" s="97">
        <v>-10158.91889</v>
      </c>
      <c r="Z40" s="106">
        <v>0</v>
      </c>
      <c r="AA40" s="106">
        <v>10158.91889</v>
      </c>
      <c r="AB40" s="106">
        <v>0</v>
      </c>
      <c r="AC40" s="106">
        <f t="shared" si="5"/>
        <v>471991.56925</v>
      </c>
      <c r="AD40" s="106">
        <f t="shared" si="5"/>
        <v>303383.56925</v>
      </c>
      <c r="AE40" s="106">
        <f t="shared" si="5"/>
        <v>93522.54347826088</v>
      </c>
      <c r="AF40" s="106">
        <f t="shared" si="14"/>
        <v>75085.45652173912</v>
      </c>
      <c r="AG40" s="106">
        <f>AF40*10%</f>
        <v>7508.5456521739125</v>
      </c>
      <c r="AH40" s="106">
        <f t="shared" si="23"/>
        <v>17667.46454217391</v>
      </c>
      <c r="AI40" s="107">
        <f t="shared" si="22"/>
        <v>0</v>
      </c>
      <c r="AJ40" s="99"/>
      <c r="AK40" s="108">
        <f>IF(AI40&lt;=0.05,1.5,0)</f>
        <v>1.5</v>
      </c>
      <c r="AL40" s="101">
        <f t="shared" si="8"/>
        <v>1.5</v>
      </c>
      <c r="AM40" s="109">
        <v>16894</v>
      </c>
      <c r="AN40" s="100">
        <v>16894</v>
      </c>
      <c r="AO40" s="119">
        <f t="shared" si="9"/>
        <v>1</v>
      </c>
      <c r="AP40" s="99"/>
      <c r="AQ40" s="108">
        <f>IF(AO40&lt;=1,1,0)</f>
        <v>1</v>
      </c>
      <c r="AR40" s="110">
        <f>AP40+AQ40</f>
        <v>1</v>
      </c>
      <c r="AS40" s="109">
        <v>38297.6</v>
      </c>
      <c r="AT40" s="100">
        <v>38668</v>
      </c>
      <c r="AU40" s="107">
        <f t="shared" si="10"/>
        <v>0.9904210199648288</v>
      </c>
      <c r="AV40" s="99"/>
      <c r="AW40" s="108">
        <f>IF(AU40&lt;=1,1,0)</f>
        <v>1</v>
      </c>
      <c r="AX40" s="110">
        <f t="shared" si="11"/>
        <v>1</v>
      </c>
      <c r="AY40" s="111">
        <f t="shared" si="16"/>
        <v>6.5</v>
      </c>
      <c r="AZ40" s="115"/>
      <c r="BA40" s="94"/>
      <c r="BC40" s="85"/>
      <c r="BE40" s="87"/>
      <c r="BF40" s="87"/>
      <c r="BG40" s="87"/>
      <c r="BJ40" s="85"/>
      <c r="BL40" s="87"/>
      <c r="BM40" s="87"/>
      <c r="BN40" s="87"/>
    </row>
    <row r="41" spans="1:66" ht="12.75">
      <c r="A41" s="62" t="s">
        <v>31</v>
      </c>
      <c r="B41" s="63">
        <v>16445.5</v>
      </c>
      <c r="C41" s="63">
        <v>-9819.38296</v>
      </c>
      <c r="D41" s="63">
        <v>28956.5</v>
      </c>
      <c r="E41" s="61">
        <f t="shared" si="12"/>
        <v>0.5679381140676532</v>
      </c>
      <c r="F41" s="7">
        <f>IF(E41&lt;=1.05,1,0)</f>
        <v>1</v>
      </c>
      <c r="G41" s="8"/>
      <c r="H41" s="30">
        <f t="shared" si="0"/>
        <v>1</v>
      </c>
      <c r="I41" s="63">
        <v>33913</v>
      </c>
      <c r="J41" s="75">
        <v>196399.23541</v>
      </c>
      <c r="K41" s="95">
        <v>123522.83541</v>
      </c>
      <c r="L41" s="63">
        <v>29573.31489361702</v>
      </c>
      <c r="M41" s="63">
        <v>9913</v>
      </c>
      <c r="N41" s="61">
        <f t="shared" si="18"/>
        <v>0.5542330284560336</v>
      </c>
      <c r="O41" s="7">
        <f>IF(N41&lt;=1,1,0)</f>
        <v>1</v>
      </c>
      <c r="P41" s="8"/>
      <c r="Q41" s="30">
        <f t="shared" si="2"/>
        <v>1</v>
      </c>
      <c r="R41" s="64">
        <v>2744</v>
      </c>
      <c r="S41" s="63">
        <v>186579.85244999998</v>
      </c>
      <c r="T41" s="53">
        <v>71505.11069999999</v>
      </c>
      <c r="U41" s="52">
        <f t="shared" si="3"/>
        <v>0.023845371784203897</v>
      </c>
      <c r="V41" s="7">
        <f>IF(U41&lt;=0.15,1,0)</f>
        <v>1</v>
      </c>
      <c r="W41" s="8"/>
      <c r="X41" s="30">
        <f t="shared" si="13"/>
        <v>1</v>
      </c>
      <c r="Y41" s="63">
        <v>9819.38296</v>
      </c>
      <c r="Z41" s="54">
        <v>0</v>
      </c>
      <c r="AA41" s="54">
        <v>2691.61704</v>
      </c>
      <c r="AB41" s="54">
        <v>4956.5</v>
      </c>
      <c r="AC41" s="54">
        <f t="shared" si="5"/>
        <v>196399.23541</v>
      </c>
      <c r="AD41" s="54">
        <f t="shared" si="5"/>
        <v>123522.83541</v>
      </c>
      <c r="AE41" s="54">
        <f t="shared" si="5"/>
        <v>29573.31489361702</v>
      </c>
      <c r="AF41" s="54">
        <f t="shared" si="14"/>
        <v>43303.085106382976</v>
      </c>
      <c r="AG41" s="54">
        <f>AF41*10%</f>
        <v>4330.308510638298</v>
      </c>
      <c r="AH41" s="54">
        <f t="shared" si="23"/>
        <v>11978.425550638298</v>
      </c>
      <c r="AI41" s="78">
        <f t="shared" si="22"/>
        <v>0.05014113693437401</v>
      </c>
      <c r="AJ41" s="33">
        <f>IF(AI41&lt;=0.1,1.5,0)</f>
        <v>1.5</v>
      </c>
      <c r="AK41" s="8"/>
      <c r="AL41" s="30">
        <f t="shared" si="8"/>
        <v>1.5</v>
      </c>
      <c r="AM41" s="25">
        <v>7936.4</v>
      </c>
      <c r="AN41" s="8">
        <v>9094</v>
      </c>
      <c r="AO41" s="118">
        <f t="shared" si="9"/>
        <v>0.8727072795249615</v>
      </c>
      <c r="AP41" s="32">
        <f>IF(AO41&lt;=1,1,0)</f>
        <v>1</v>
      </c>
      <c r="AQ41" s="8"/>
      <c r="AR41" s="58">
        <f t="shared" si="15"/>
        <v>1</v>
      </c>
      <c r="AS41" s="25">
        <v>19966.4</v>
      </c>
      <c r="AT41" s="8">
        <v>22028</v>
      </c>
      <c r="AU41" s="76">
        <f t="shared" si="10"/>
        <v>0.9064100236063193</v>
      </c>
      <c r="AV41" s="32">
        <f>IF(AU41&lt;=1,1,0)</f>
        <v>1</v>
      </c>
      <c r="AW41" s="8"/>
      <c r="AX41" s="58">
        <f t="shared" si="11"/>
        <v>1</v>
      </c>
      <c r="AY41" s="68">
        <f t="shared" si="16"/>
        <v>6.5</v>
      </c>
      <c r="AZ41" s="115"/>
      <c r="BA41" s="94"/>
      <c r="BC41" s="85"/>
      <c r="BE41" s="87"/>
      <c r="BF41" s="87"/>
      <c r="BG41" s="87"/>
      <c r="BJ41" s="85"/>
      <c r="BL41" s="87"/>
      <c r="BM41" s="87"/>
      <c r="BN41" s="87"/>
    </row>
    <row r="42" spans="1:66" ht="13.5" thickBot="1">
      <c r="A42" s="62" t="s">
        <v>32</v>
      </c>
      <c r="B42" s="63">
        <v>11963.59</v>
      </c>
      <c r="C42" s="63">
        <v>3500</v>
      </c>
      <c r="D42" s="63">
        <v>8463.59</v>
      </c>
      <c r="E42" s="52">
        <f t="shared" si="12"/>
        <v>1</v>
      </c>
      <c r="F42" s="7">
        <f>IF(E42&lt;=1.05,1,0)</f>
        <v>1</v>
      </c>
      <c r="G42" s="8"/>
      <c r="H42" s="30">
        <f t="shared" si="0"/>
        <v>1</v>
      </c>
      <c r="I42" s="63">
        <v>27427.18</v>
      </c>
      <c r="J42" s="75">
        <v>481182.2138</v>
      </c>
      <c r="K42" s="95">
        <v>375928.9928</v>
      </c>
      <c r="L42" s="63">
        <v>34989.36117647059</v>
      </c>
      <c r="M42" s="63">
        <v>2927.2</v>
      </c>
      <c r="N42" s="52">
        <f>(I42-M42)/(J42-K42-L42)</f>
        <v>0.3486853705665004</v>
      </c>
      <c r="O42" s="7">
        <f>IF(N42&lt;=1,1,0)</f>
        <v>1</v>
      </c>
      <c r="P42" s="8"/>
      <c r="Q42" s="30">
        <f t="shared" si="2"/>
        <v>1</v>
      </c>
      <c r="R42" s="83">
        <v>3250.335</v>
      </c>
      <c r="S42" s="63">
        <v>484682.2138</v>
      </c>
      <c r="T42" s="53">
        <v>115564.8818</v>
      </c>
      <c r="U42" s="52">
        <f t="shared" si="3"/>
        <v>0.00880569596228009</v>
      </c>
      <c r="V42" s="7">
        <f>IF(U42&lt;=0.15,1,0)</f>
        <v>1</v>
      </c>
      <c r="W42" s="8"/>
      <c r="X42" s="30">
        <f t="shared" si="13"/>
        <v>1</v>
      </c>
      <c r="Y42" s="63">
        <v>-3500</v>
      </c>
      <c r="Z42" s="54">
        <v>0</v>
      </c>
      <c r="AA42" s="54">
        <v>0</v>
      </c>
      <c r="AB42" s="54">
        <v>1463.59</v>
      </c>
      <c r="AC42" s="54">
        <f t="shared" si="5"/>
        <v>481182.2138</v>
      </c>
      <c r="AD42" s="54">
        <f t="shared" si="5"/>
        <v>375928.9928</v>
      </c>
      <c r="AE42" s="54">
        <f t="shared" si="5"/>
        <v>34989.36117647059</v>
      </c>
      <c r="AF42" s="54">
        <f t="shared" si="14"/>
        <v>70263.85982352943</v>
      </c>
      <c r="AG42" s="54">
        <f>AF42*10%</f>
        <v>7026.385982352944</v>
      </c>
      <c r="AH42" s="54">
        <f t="shared" si="23"/>
        <v>8489.975982352944</v>
      </c>
      <c r="AI42" s="77">
        <f t="shared" si="22"/>
        <v>0</v>
      </c>
      <c r="AJ42" s="33">
        <f>IF(AI42&lt;=0.1,1.5,0)</f>
        <v>1.5</v>
      </c>
      <c r="AK42" s="8"/>
      <c r="AL42" s="30">
        <f t="shared" si="8"/>
        <v>1.5</v>
      </c>
      <c r="AM42" s="25">
        <v>7449.2</v>
      </c>
      <c r="AN42" s="8">
        <v>9094</v>
      </c>
      <c r="AO42" s="118">
        <f t="shared" si="9"/>
        <v>0.8191334946118319</v>
      </c>
      <c r="AP42" s="32">
        <f>IF(AO42&lt;=1,1,0)</f>
        <v>1</v>
      </c>
      <c r="AQ42" s="8"/>
      <c r="AR42" s="58">
        <f t="shared" si="15"/>
        <v>1</v>
      </c>
      <c r="AS42" s="25">
        <v>19248.8</v>
      </c>
      <c r="AT42" s="8">
        <v>19865</v>
      </c>
      <c r="AU42" s="76">
        <f t="shared" si="10"/>
        <v>0.9689806191794613</v>
      </c>
      <c r="AV42" s="32">
        <f>IF(AU42&lt;=1,1,0)</f>
        <v>1</v>
      </c>
      <c r="AW42" s="8"/>
      <c r="AX42" s="58">
        <f t="shared" si="11"/>
        <v>1</v>
      </c>
      <c r="AY42" s="81">
        <f t="shared" si="16"/>
        <v>6.5</v>
      </c>
      <c r="AZ42" s="115"/>
      <c r="BA42" s="94"/>
      <c r="BC42" s="85"/>
      <c r="BE42" s="87"/>
      <c r="BF42" s="87"/>
      <c r="BG42" s="87"/>
      <c r="BJ42" s="85"/>
      <c r="BL42" s="87"/>
      <c r="BM42" s="87"/>
      <c r="BN42" s="87"/>
    </row>
    <row r="43" spans="1:67" ht="14.25" thickBot="1" thickTop="1">
      <c r="A43" s="65" t="s">
        <v>33</v>
      </c>
      <c r="B43" s="66">
        <f>SUM(B10:B42)</f>
        <v>2197860.802</v>
      </c>
      <c r="C43" s="66">
        <f>SUM(C10:C42)</f>
        <v>224198.39844</v>
      </c>
      <c r="D43" s="66">
        <f>SUM(D10:D42)</f>
        <v>2256459.148</v>
      </c>
      <c r="E43" s="9"/>
      <c r="F43" s="9"/>
      <c r="G43" s="9"/>
      <c r="H43" s="21"/>
      <c r="I43" s="9">
        <f>SUM(I10:I42)</f>
        <v>2479078.0300000003</v>
      </c>
      <c r="J43" s="9">
        <f>SUM(J10:J42)</f>
        <v>18025452.244829997</v>
      </c>
      <c r="K43" s="9">
        <f>SUM(K10:K42)</f>
        <v>11934102.112829998</v>
      </c>
      <c r="L43" s="9">
        <f>SUM(L10:L42)</f>
        <v>1904350.226381189</v>
      </c>
      <c r="M43" s="9">
        <f>SUM(M10:M42)</f>
        <v>101389.2</v>
      </c>
      <c r="N43" s="9"/>
      <c r="O43" s="9"/>
      <c r="P43" s="9"/>
      <c r="Q43" s="21"/>
      <c r="R43" s="31">
        <f>SUM(R10:R42)</f>
        <v>311053.06</v>
      </c>
      <c r="S43" s="9">
        <f>SUM(S10:S42)</f>
        <v>18249650.64327</v>
      </c>
      <c r="T43" s="9">
        <f>SUM(T10:T42)</f>
        <v>7556194.884400001</v>
      </c>
      <c r="U43" s="9"/>
      <c r="V43" s="9"/>
      <c r="W43" s="9"/>
      <c r="X43" s="21"/>
      <c r="Y43" s="14">
        <f aca="true" t="shared" si="35" ref="Y43:AE43">SUM(Y10:Y42)</f>
        <v>-224198.39844</v>
      </c>
      <c r="Z43" s="26">
        <f t="shared" si="35"/>
        <v>48528</v>
      </c>
      <c r="AA43" s="26">
        <f t="shared" si="35"/>
        <v>234209.51200000002</v>
      </c>
      <c r="AB43" s="26">
        <f t="shared" si="35"/>
        <v>25694.59</v>
      </c>
      <c r="AC43" s="26">
        <f t="shared" si="35"/>
        <v>18025452.244829997</v>
      </c>
      <c r="AD43" s="26">
        <f t="shared" si="35"/>
        <v>11934102.112829998</v>
      </c>
      <c r="AE43" s="26">
        <f t="shared" si="35"/>
        <v>1904350.226381189</v>
      </c>
      <c r="AF43" s="14"/>
      <c r="AG43" s="14"/>
      <c r="AH43" s="14"/>
      <c r="AI43" s="9"/>
      <c r="AJ43" s="9"/>
      <c r="AK43" s="9"/>
      <c r="AL43" s="9"/>
      <c r="AM43" s="26">
        <f>SUM(AM10:AM42)</f>
        <v>608568</v>
      </c>
      <c r="AN43" s="26">
        <f>SUM(AN10:AN42)</f>
        <v>666869</v>
      </c>
      <c r="AO43" s="9"/>
      <c r="AP43" s="9"/>
      <c r="AQ43" s="9"/>
      <c r="AR43" s="9"/>
      <c r="AS43" s="26">
        <f>SUM(AS10:AS42)</f>
        <v>1363287.0999999999</v>
      </c>
      <c r="AT43" s="26">
        <f>SUM(AT10:AT42)</f>
        <v>1463609</v>
      </c>
      <c r="AU43" s="9"/>
      <c r="AV43" s="9"/>
      <c r="AW43" s="9"/>
      <c r="AX43" s="9"/>
      <c r="AY43" s="67"/>
      <c r="AZ43" s="140"/>
      <c r="BA43" s="1"/>
      <c r="BC43" s="90"/>
      <c r="BD43" s="89"/>
      <c r="BE43" s="89"/>
      <c r="BF43" s="89"/>
      <c r="BG43" s="89"/>
      <c r="BH43" s="89"/>
      <c r="BJ43" s="84"/>
      <c r="BK43" s="141"/>
      <c r="BL43" s="141"/>
      <c r="BM43" s="141"/>
      <c r="BN43" s="141"/>
      <c r="BO43" s="141"/>
    </row>
    <row r="44" ht="13.5" thickTop="1">
      <c r="BA44" s="1"/>
    </row>
    <row r="45" ht="12.75">
      <c r="L45" s="86"/>
    </row>
    <row r="46" ht="12.75">
      <c r="L46" s="121"/>
    </row>
  </sheetData>
  <sheetProtection/>
  <mergeCells count="14">
    <mergeCell ref="AM5:AN5"/>
    <mergeCell ref="AS4:AX4"/>
    <mergeCell ref="AS5:AT5"/>
    <mergeCell ref="AM4:AR4"/>
    <mergeCell ref="B1:H3"/>
    <mergeCell ref="A4:A7"/>
    <mergeCell ref="B4:H4"/>
    <mergeCell ref="I4:Q4"/>
    <mergeCell ref="R4:X4"/>
    <mergeCell ref="Y4:AL4"/>
    <mergeCell ref="B5:D5"/>
    <mergeCell ref="I5:K5"/>
    <mergeCell ref="R5:T5"/>
    <mergeCell ref="Y5:AA5"/>
  </mergeCells>
  <printOptions/>
  <pageMargins left="0.1968503937007874" right="0.1968503937007874" top="0.35433070866141736" bottom="0.2755905511811024" header="0.31496062992125984" footer="0.31496062992125984"/>
  <pageSetup fitToWidth="0" fitToHeight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Prudnikov</dc:creator>
  <cp:keywords/>
  <dc:description/>
  <cp:lastModifiedBy>Хохлова Н.В.</cp:lastModifiedBy>
  <cp:lastPrinted>2017-04-26T08:40:40Z</cp:lastPrinted>
  <dcterms:created xsi:type="dcterms:W3CDTF">2010-04-09T11:34:58Z</dcterms:created>
  <dcterms:modified xsi:type="dcterms:W3CDTF">2017-04-28T06:31:13Z</dcterms:modified>
  <cp:category/>
  <cp:version/>
  <cp:contentType/>
  <cp:contentStatus/>
</cp:coreProperties>
</file>