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за 4 кв. (2015 Р1 пл, ост факт)" sheetId="1" r:id="rId1"/>
  </sheets>
  <externalReferences>
    <externalReference r:id="rId4"/>
  </externalReferences>
  <definedNames>
    <definedName name="_xlfn.BAHTTEXT" hidden="1">#NAME?</definedName>
    <definedName name="_xlnm.Print_Titles" localSheetId="0">'за 4 кв. (2015 Р1 пл, ост факт)'!$A:$A</definedName>
    <definedName name="_xlnm.Print_Area" localSheetId="0">'за 4 кв. (2015 Р1 пл, ост факт)'!$A$1:$AS$43</definedName>
  </definedNames>
  <calcPr fullCalcOnLoad="1"/>
</workbook>
</file>

<file path=xl/sharedStrings.xml><?xml version="1.0" encoding="utf-8"?>
<sst xmlns="http://schemas.openxmlformats.org/spreadsheetml/2006/main" count="132" uniqueCount="101">
  <si>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01.01.2016</t>
  </si>
  <si>
    <t>справочная 01000</t>
  </si>
  <si>
    <t>тыс.руб.</t>
  </si>
  <si>
    <t>P1</t>
  </si>
  <si>
    <t>P2</t>
  </si>
  <si>
    <t>P3</t>
  </si>
  <si>
    <t>P4</t>
  </si>
  <si>
    <t>P5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</si>
  <si>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</si>
  <si>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</si>
  <si>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</si>
  <si>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</si>
  <si>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</si>
  <si>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</si>
  <si>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Удельный вес индикатора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</si>
  <si>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</si>
  <si>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</si>
  <si>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</si>
  <si>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</si>
  <si>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</si>
  <si>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</si>
  <si>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</si>
  <si>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</si>
  <si>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</si>
  <si>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</si>
  <si>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</si>
  <si>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</si>
  <si>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</si>
  <si>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</si>
  <si>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</si>
  <si>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</si>
  <si>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</si>
  <si>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</si>
  <si>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</si>
  <si>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</si>
  <si>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</si>
  <si>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</si>
  <si>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</si>
  <si>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</si>
  <si>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</si>
  <si>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</si>
  <si>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</si>
  <si>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</si>
  <si>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</si>
  <si>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</si>
  <si>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</si>
  <si>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</si>
  <si>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</si>
  <si>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</si>
  <si>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</si>
  <si>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</si>
  <si>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</si>
  <si>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</si>
  <si>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</si>
  <si>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</si>
  <si>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</si>
  <si>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</si>
  <si>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</si>
  <si>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факт</t>
  </si>
  <si>
    <t>если -, то 0</t>
  </si>
  <si>
    <t>до 10%</t>
  </si>
  <si>
    <t>от 10 до 30</t>
  </si>
  <si>
    <t>от 30 до 70</t>
  </si>
  <si>
    <t xml:space="preserve">от 70 до 90 </t>
  </si>
  <si>
    <t>свыше 90</t>
  </si>
  <si>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</si>
  <si>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</si>
  <si>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</si>
  <si>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</si>
  <si>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</si>
  <si>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</si>
  <si>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</si>
  <si>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</si>
  <si>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</si>
  <si>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</si>
  <si>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</si>
  <si>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</si>
  <si>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</si>
  <si>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</si>
  <si>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</si>
  <si>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</si>
  <si>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</si>
  <si>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</si>
  <si>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</si>
  <si>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</si>
  <si>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</si>
  <si>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</si>
  <si>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</si>
  <si>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</si>
  <si>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</si>
  <si>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</si>
  <si>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</si>
  <si>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</si>
  <si>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</si>
  <si>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</si>
  <si>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</si>
  <si>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</si>
  <si>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</si>
  <si>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</si>
  <si>
    <t>ГО</t>
  </si>
  <si>
    <t>МР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</si>
</sst>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_-* #,##0_р_._-;\-* #,##0_р_._-;_-* &quot;-&quot;??_р_._-;_-@_-"/>
    <numFmt numFmtId="167" formatCode="_-* #,##0.0_р_._-;\-* #,##0.0_р_._-;_-* &quot;-&quot;??_р_._-;_-@_-"/>
    <numFmt numFmtId="168" formatCode="#,##0.0"/>
    <numFmt numFmtId="169" formatCode="0.000"/>
    <numFmt numFmtId="170" formatCode="0.0"/>
    <numFmt numFmtId="171" formatCode="0.0_ ;[Red]\-0.0\ "/>
    <numFmt numFmtId="172" formatCode="0.0%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9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/>
    </xf>
    <xf numFmtId="43" fontId="19" fillId="0" borderId="0" xfId="59" applyFont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43" fontId="19" fillId="0" borderId="10" xfId="59" applyFont="1" applyBorder="1" applyAlignment="1">
      <alignment horizontal="center" wrapText="1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34" borderId="0" xfId="0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0" fillId="37" borderId="16" xfId="0" applyFill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2" fillId="38" borderId="19" xfId="0" applyFont="1" applyFill="1" applyBorder="1" applyAlignment="1">
      <alignment horizontal="center"/>
    </xf>
    <xf numFmtId="0" fontId="22" fillId="38" borderId="20" xfId="0" applyFont="1" applyFill="1" applyBorder="1" applyAlignment="1">
      <alignment/>
    </xf>
    <xf numFmtId="0" fontId="22" fillId="38" borderId="21" xfId="0" applyFont="1" applyFill="1" applyBorder="1" applyAlignment="1">
      <alignment/>
    </xf>
    <xf numFmtId="0" fontId="22" fillId="38" borderId="22" xfId="0" applyFont="1" applyFill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2" fillId="38" borderId="24" xfId="0" applyFont="1" applyFill="1" applyBorder="1" applyAlignment="1">
      <alignment/>
    </xf>
    <xf numFmtId="0" fontId="0" fillId="37" borderId="25" xfId="0" applyFill="1" applyBorder="1" applyAlignment="1">
      <alignment/>
    </xf>
    <xf numFmtId="0" fontId="18" fillId="39" borderId="26" xfId="0" applyFont="1" applyFill="1" applyBorder="1" applyAlignment="1">
      <alignment horizontal="center" vertical="center" wrapText="1"/>
    </xf>
    <xf numFmtId="0" fontId="22" fillId="40" borderId="26" xfId="0" applyFont="1" applyFill="1" applyBorder="1" applyAlignment="1">
      <alignment horizontal="center" vertical="center" wrapText="1"/>
    </xf>
    <xf numFmtId="0" fontId="22" fillId="40" borderId="27" xfId="0" applyFont="1" applyFill="1" applyBorder="1" applyAlignment="1">
      <alignment horizontal="center" vertical="center" wrapText="1"/>
    </xf>
    <xf numFmtId="0" fontId="25" fillId="39" borderId="26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22" fillId="4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2" fillId="39" borderId="31" xfId="0" applyFont="1" applyFill="1" applyBorder="1" applyAlignment="1">
      <alignment horizontal="center" vertical="center" wrapText="1"/>
    </xf>
    <xf numFmtId="0" fontId="22" fillId="39" borderId="32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37" borderId="31" xfId="0" applyFont="1" applyFill="1" applyBorder="1" applyAlignment="1">
      <alignment horizontal="center" vertical="center" wrapText="1"/>
    </xf>
    <xf numFmtId="0" fontId="22" fillId="41" borderId="31" xfId="0" applyFont="1" applyFill="1" applyBorder="1" applyAlignment="1">
      <alignment horizontal="center" vertical="center" wrapText="1"/>
    </xf>
    <xf numFmtId="0" fontId="22" fillId="39" borderId="3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42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27" fillId="43" borderId="36" xfId="0" applyFont="1" applyFill="1" applyBorder="1" applyAlignment="1">
      <alignment horizontal="center"/>
    </xf>
    <xf numFmtId="0" fontId="27" fillId="43" borderId="31" xfId="0" applyFont="1" applyFill="1" applyBorder="1" applyAlignment="1">
      <alignment horizontal="center"/>
    </xf>
    <xf numFmtId="0" fontId="27" fillId="43" borderId="32" xfId="0" applyFont="1" applyFill="1" applyBorder="1" applyAlignment="1">
      <alignment horizontal="center"/>
    </xf>
    <xf numFmtId="0" fontId="27" fillId="43" borderId="37" xfId="0" applyFont="1" applyFill="1" applyBorder="1" applyAlignment="1">
      <alignment horizontal="center"/>
    </xf>
    <xf numFmtId="0" fontId="27" fillId="43" borderId="38" xfId="0" applyFont="1" applyFill="1" applyBorder="1" applyAlignment="1">
      <alignment horizontal="center"/>
    </xf>
    <xf numFmtId="0" fontId="22" fillId="43" borderId="31" xfId="0" applyFont="1" applyFill="1" applyBorder="1" applyAlignment="1">
      <alignment horizontal="center"/>
    </xf>
    <xf numFmtId="0" fontId="27" fillId="43" borderId="33" xfId="0" applyFont="1" applyFill="1" applyBorder="1" applyAlignment="1">
      <alignment horizontal="center"/>
    </xf>
    <xf numFmtId="17" fontId="0" fillId="33" borderId="0" xfId="0" applyNumberFormat="1" applyFill="1" applyAlignment="1">
      <alignment/>
    </xf>
    <xf numFmtId="0" fontId="18" fillId="0" borderId="39" xfId="0" applyFont="1" applyBorder="1" applyAlignment="1">
      <alignment/>
    </xf>
    <xf numFmtId="165" fontId="18" fillId="0" borderId="40" xfId="59" applyNumberFormat="1" applyFont="1" applyFill="1" applyBorder="1" applyAlignment="1">
      <alignment/>
    </xf>
    <xf numFmtId="164" fontId="22" fillId="0" borderId="40" xfId="59" applyNumberFormat="1" applyFont="1" applyBorder="1" applyAlignment="1">
      <alignment/>
    </xf>
    <xf numFmtId="166" fontId="18" fillId="0" borderId="41" xfId="59" applyNumberFormat="1" applyFont="1" applyBorder="1" applyAlignment="1">
      <alignment/>
    </xf>
    <xf numFmtId="166" fontId="18" fillId="0" borderId="19" xfId="59" applyNumberFormat="1" applyFont="1" applyBorder="1" applyAlignment="1">
      <alignment/>
    </xf>
    <xf numFmtId="167" fontId="22" fillId="0" borderId="42" xfId="59" applyNumberFormat="1" applyFont="1" applyBorder="1" applyAlignment="1">
      <alignment/>
    </xf>
    <xf numFmtId="165" fontId="18" fillId="33" borderId="40" xfId="59" applyNumberFormat="1" applyFont="1" applyFill="1" applyBorder="1" applyAlignment="1">
      <alignment/>
    </xf>
    <xf numFmtId="164" fontId="18" fillId="0" borderId="40" xfId="59" applyNumberFormat="1" applyFont="1" applyFill="1" applyBorder="1" applyAlignment="1">
      <alignment/>
    </xf>
    <xf numFmtId="168" fontId="18" fillId="0" borderId="41" xfId="59" applyNumberFormat="1" applyFont="1" applyFill="1" applyBorder="1" applyAlignment="1">
      <alignment/>
    </xf>
    <xf numFmtId="164" fontId="22" fillId="0" borderId="40" xfId="59" applyNumberFormat="1" applyFont="1" applyFill="1" applyBorder="1" applyAlignment="1">
      <alignment/>
    </xf>
    <xf numFmtId="165" fontId="18" fillId="0" borderId="43" xfId="59" applyNumberFormat="1" applyFont="1" applyFill="1" applyBorder="1" applyAlignment="1">
      <alignment/>
    </xf>
    <xf numFmtId="165" fontId="18" fillId="0" borderId="19" xfId="59" applyNumberFormat="1" applyFont="1" applyFill="1" applyBorder="1" applyAlignment="1">
      <alignment/>
    </xf>
    <xf numFmtId="165" fontId="18" fillId="0" borderId="19" xfId="59" applyNumberFormat="1" applyFont="1" applyBorder="1" applyAlignment="1">
      <alignment/>
    </xf>
    <xf numFmtId="169" fontId="22" fillId="0" borderId="19" xfId="59" applyNumberFormat="1" applyFont="1" applyBorder="1" applyAlignment="1">
      <alignment/>
    </xf>
    <xf numFmtId="167" fontId="18" fillId="0" borderId="41" xfId="59" applyNumberFormat="1" applyFont="1" applyFill="1" applyBorder="1" applyAlignment="1">
      <alignment/>
    </xf>
    <xf numFmtId="166" fontId="18" fillId="0" borderId="19" xfId="59" applyNumberFormat="1" applyFont="1" applyFill="1" applyBorder="1" applyAlignment="1">
      <alignment/>
    </xf>
    <xf numFmtId="167" fontId="22" fillId="0" borderId="42" xfId="59" applyNumberFormat="1" applyFont="1" applyFill="1" applyBorder="1" applyAlignment="1">
      <alignment/>
    </xf>
    <xf numFmtId="166" fontId="18" fillId="0" borderId="44" xfId="59" applyNumberFormat="1" applyFont="1" applyFill="1" applyBorder="1" applyAlignment="1">
      <alignment/>
    </xf>
    <xf numFmtId="170" fontId="22" fillId="0" borderId="19" xfId="59" applyNumberFormat="1" applyFont="1" applyBorder="1" applyAlignment="1">
      <alignment/>
    </xf>
    <xf numFmtId="167" fontId="18" fillId="0" borderId="41" xfId="59" applyNumberFormat="1" applyFont="1" applyBorder="1" applyAlignment="1">
      <alignment/>
    </xf>
    <xf numFmtId="171" fontId="22" fillId="0" borderId="19" xfId="59" applyNumberFormat="1" applyFont="1" applyBorder="1" applyAlignment="1">
      <alignment/>
    </xf>
    <xf numFmtId="167" fontId="22" fillId="0" borderId="45" xfId="59" applyNumberFormat="1" applyFont="1" applyBorder="1" applyAlignment="1">
      <alignment/>
    </xf>
    <xf numFmtId="172" fontId="0" fillId="33" borderId="0" xfId="55" applyNumberFormat="1" applyFont="1" applyFill="1" applyAlignment="1">
      <alignment/>
    </xf>
    <xf numFmtId="0" fontId="22" fillId="0" borderId="0" xfId="0" applyFont="1" applyAlignment="1">
      <alignment/>
    </xf>
    <xf numFmtId="0" fontId="18" fillId="44" borderId="46" xfId="0" applyFont="1" applyFill="1" applyBorder="1" applyAlignment="1">
      <alignment/>
    </xf>
    <xf numFmtId="165" fontId="18" fillId="44" borderId="40" xfId="59" applyNumberFormat="1" applyFont="1" applyFill="1" applyBorder="1" applyAlignment="1">
      <alignment/>
    </xf>
    <xf numFmtId="164" fontId="22" fillId="44" borderId="40" xfId="59" applyNumberFormat="1" applyFont="1" applyFill="1" applyBorder="1" applyAlignment="1">
      <alignment/>
    </xf>
    <xf numFmtId="166" fontId="18" fillId="44" borderId="41" xfId="59" applyNumberFormat="1" applyFont="1" applyFill="1" applyBorder="1" applyAlignment="1">
      <alignment/>
    </xf>
    <xf numFmtId="166" fontId="18" fillId="44" borderId="19" xfId="59" applyNumberFormat="1" applyFont="1" applyFill="1" applyBorder="1" applyAlignment="1">
      <alignment/>
    </xf>
    <xf numFmtId="167" fontId="22" fillId="44" borderId="42" xfId="59" applyNumberFormat="1" applyFont="1" applyFill="1" applyBorder="1" applyAlignment="1">
      <alignment/>
    </xf>
    <xf numFmtId="164" fontId="18" fillId="44" borderId="40" xfId="59" applyNumberFormat="1" applyFont="1" applyFill="1" applyBorder="1" applyAlignment="1">
      <alignment/>
    </xf>
    <xf numFmtId="168" fontId="18" fillId="44" borderId="41" xfId="59" applyNumberFormat="1" applyFont="1" applyFill="1" applyBorder="1" applyAlignment="1">
      <alignment/>
    </xf>
    <xf numFmtId="165" fontId="18" fillId="44" borderId="44" xfId="59" applyNumberFormat="1" applyFont="1" applyFill="1" applyBorder="1" applyAlignment="1">
      <alignment/>
    </xf>
    <xf numFmtId="165" fontId="18" fillId="44" borderId="19" xfId="59" applyNumberFormat="1" applyFont="1" applyFill="1" applyBorder="1" applyAlignment="1">
      <alignment/>
    </xf>
    <xf numFmtId="169" fontId="22" fillId="44" borderId="19" xfId="59" applyNumberFormat="1" applyFont="1" applyFill="1" applyBorder="1" applyAlignment="1">
      <alignment/>
    </xf>
    <xf numFmtId="167" fontId="18" fillId="44" borderId="41" xfId="59" applyNumberFormat="1" applyFont="1" applyFill="1" applyBorder="1" applyAlignment="1">
      <alignment/>
    </xf>
    <xf numFmtId="167" fontId="18" fillId="44" borderId="19" xfId="59" applyNumberFormat="1" applyFont="1" applyFill="1" applyBorder="1" applyAlignment="1">
      <alignment/>
    </xf>
    <xf numFmtId="166" fontId="18" fillId="44" borderId="44" xfId="59" applyNumberFormat="1" applyFont="1" applyFill="1" applyBorder="1" applyAlignment="1">
      <alignment/>
    </xf>
    <xf numFmtId="170" fontId="22" fillId="44" borderId="19" xfId="59" applyNumberFormat="1" applyFont="1" applyFill="1" applyBorder="1" applyAlignment="1">
      <alignment/>
    </xf>
    <xf numFmtId="171" fontId="22" fillId="44" borderId="19" xfId="59" applyNumberFormat="1" applyFont="1" applyFill="1" applyBorder="1" applyAlignment="1">
      <alignment/>
    </xf>
    <xf numFmtId="167" fontId="22" fillId="44" borderId="45" xfId="59" applyNumberFormat="1" applyFont="1" applyFill="1" applyBorder="1" applyAlignment="1">
      <alignment/>
    </xf>
    <xf numFmtId="0" fontId="0" fillId="45" borderId="0" xfId="0" applyFill="1" applyAlignment="1">
      <alignment/>
    </xf>
    <xf numFmtId="0" fontId="18" fillId="0" borderId="46" xfId="0" applyFont="1" applyBorder="1" applyAlignment="1">
      <alignment/>
    </xf>
    <xf numFmtId="166" fontId="18" fillId="0" borderId="41" xfId="59" applyNumberFormat="1" applyFont="1" applyFill="1" applyBorder="1" applyAlignment="1">
      <alignment/>
    </xf>
    <xf numFmtId="165" fontId="18" fillId="0" borderId="44" xfId="59" applyNumberFormat="1" applyFont="1" applyFill="1" applyBorder="1" applyAlignment="1">
      <alignment/>
    </xf>
    <xf numFmtId="167" fontId="22" fillId="0" borderId="45" xfId="59" applyNumberFormat="1" applyFont="1" applyFill="1" applyBorder="1" applyAlignment="1">
      <alignment/>
    </xf>
    <xf numFmtId="170" fontId="22" fillId="0" borderId="19" xfId="59" applyNumberFormat="1" applyFont="1" applyFill="1" applyBorder="1" applyAlignment="1">
      <alignment/>
    </xf>
    <xf numFmtId="0" fontId="18" fillId="0" borderId="46" xfId="0" applyFont="1" applyFill="1" applyBorder="1" applyAlignment="1">
      <alignment/>
    </xf>
    <xf numFmtId="169" fontId="22" fillId="0" borderId="19" xfId="59" applyNumberFormat="1" applyFont="1" applyFill="1" applyBorder="1" applyAlignment="1">
      <alignment/>
    </xf>
    <xf numFmtId="167" fontId="18" fillId="0" borderId="19" xfId="59" applyNumberFormat="1" applyFont="1" applyFill="1" applyBorder="1" applyAlignment="1">
      <alignment/>
    </xf>
    <xf numFmtId="171" fontId="22" fillId="0" borderId="19" xfId="59" applyNumberFormat="1" applyFont="1" applyFill="1" applyBorder="1" applyAlignment="1">
      <alignment/>
    </xf>
    <xf numFmtId="0" fontId="18" fillId="0" borderId="47" xfId="0" applyFont="1" applyFill="1" applyBorder="1" applyAlignment="1">
      <alignment/>
    </xf>
    <xf numFmtId="165" fontId="18" fillId="0" borderId="40" xfId="59" applyNumberFormat="1" applyFont="1" applyBorder="1" applyAlignment="1">
      <alignment/>
    </xf>
    <xf numFmtId="164" fontId="18" fillId="0" borderId="40" xfId="59" applyNumberFormat="1" applyFont="1" applyBorder="1" applyAlignment="1">
      <alignment/>
    </xf>
    <xf numFmtId="165" fontId="18" fillId="0" borderId="44" xfId="59" applyNumberFormat="1" applyFont="1" applyBorder="1" applyAlignment="1">
      <alignment/>
    </xf>
    <xf numFmtId="166" fontId="18" fillId="0" borderId="44" xfId="59" applyNumberFormat="1" applyFont="1" applyBorder="1" applyAlignment="1">
      <alignment/>
    </xf>
    <xf numFmtId="169" fontId="22" fillId="33" borderId="19" xfId="59" applyNumberFormat="1" applyFont="1" applyFill="1" applyBorder="1" applyAlignment="1">
      <alignment/>
    </xf>
    <xf numFmtId="167" fontId="22" fillId="33" borderId="45" xfId="59" applyNumberFormat="1" applyFont="1" applyFill="1" applyBorder="1" applyAlignment="1">
      <alignment/>
    </xf>
    <xf numFmtId="165" fontId="18" fillId="0" borderId="48" xfId="59" applyNumberFormat="1" applyFont="1" applyBorder="1" applyAlignment="1">
      <alignment/>
    </xf>
    <xf numFmtId="0" fontId="22" fillId="43" borderId="49" xfId="0" applyFont="1" applyFill="1" applyBorder="1" applyAlignment="1" applyProtection="1">
      <alignment/>
      <protection/>
    </xf>
    <xf numFmtId="166" fontId="22" fillId="43" borderId="50" xfId="59" applyNumberFormat="1" applyFont="1" applyFill="1" applyBorder="1" applyAlignment="1">
      <alignment horizontal="center"/>
    </xf>
    <xf numFmtId="166" fontId="22" fillId="43" borderId="51" xfId="59" applyNumberFormat="1" applyFont="1" applyFill="1" applyBorder="1" applyAlignment="1">
      <alignment horizontal="center"/>
    </xf>
    <xf numFmtId="166" fontId="22" fillId="43" borderId="52" xfId="59" applyNumberFormat="1" applyFont="1" applyFill="1" applyBorder="1" applyAlignment="1">
      <alignment horizontal="center"/>
    </xf>
    <xf numFmtId="167" fontId="22" fillId="43" borderId="53" xfId="59" applyNumberFormat="1" applyFont="1" applyFill="1" applyBorder="1" applyAlignment="1">
      <alignment horizontal="center"/>
    </xf>
    <xf numFmtId="166" fontId="22" fillId="43" borderId="54" xfId="59" applyNumberFormat="1" applyFont="1" applyFill="1" applyBorder="1" applyAlignment="1">
      <alignment horizontal="center"/>
    </xf>
    <xf numFmtId="166" fontId="22" fillId="43" borderId="53" xfId="59" applyNumberFormat="1" applyFont="1" applyFill="1" applyBorder="1" applyAlignment="1">
      <alignment horizontal="center"/>
    </xf>
    <xf numFmtId="166" fontId="22" fillId="43" borderId="55" xfId="59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0" fontId="28" fillId="1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_&#1076;&#1086;&#1082;&#1091;&#1084;&#1077;&#1085;&#1090;&#1099;_terbudget\&#1052;&#1086;&#1085;&#1103;%20&#1052;&#1054;%20&#1076;&#1083;&#1103;%20&#1086;&#1094;&#1077;&#1085;&#1082;&#1080;%20&#1082;&#1072;&#1095;&#1077;&#1089;&#1090;&#1074;&#1072;\2015\&#1084;&#1086;&#1085;&#1080;&#1090;&#1086;&#1088;&#1080;&#1085;&#1075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годовой (2)"/>
      <sheetName val="за 1 кв."/>
      <sheetName val="за 2 кв."/>
      <sheetName val="за 3 кв."/>
      <sheetName val="за 4 кв. (2015 Р1 пл, ост фа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="70" zoomScaleNormal="70" zoomScaleSheetLayoutView="7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50" sqref="E50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9.125" style="0" customWidth="1"/>
    <col min="14" max="14" width="19.625" style="0" customWidth="1"/>
    <col min="15" max="15" width="23.875" style="0" customWidth="1"/>
    <col min="16" max="16" width="17.125" style="0" customWidth="1"/>
    <col min="17" max="17" width="19.625" style="0" customWidth="1"/>
    <col min="18" max="18" width="16.375" style="0" customWidth="1"/>
    <col min="19" max="19" width="17.625" style="0" customWidth="1"/>
    <col min="20" max="20" width="24.25390625" style="0" customWidth="1"/>
    <col min="21" max="21" width="29.75390625" style="0" customWidth="1"/>
    <col min="22" max="22" width="18.00390625" style="0" customWidth="1"/>
    <col min="23" max="23" width="17.375" style="0" customWidth="1"/>
    <col min="24" max="24" width="14.00390625" style="0" customWidth="1"/>
    <col min="25" max="25" width="12.125" style="0" customWidth="1"/>
    <col min="26" max="26" width="15.125" style="0" customWidth="1"/>
    <col min="27" max="27" width="13.75390625" style="0" customWidth="1"/>
    <col min="28" max="28" width="20.75390625" style="0" customWidth="1"/>
    <col min="29" max="29" width="12.875" style="0" customWidth="1"/>
    <col min="30" max="30" width="13.25390625" style="0" customWidth="1"/>
    <col min="31" max="31" width="13.00390625" style="0" customWidth="1"/>
    <col min="32" max="32" width="15.25390625" style="0" hidden="1" customWidth="1"/>
    <col min="33" max="33" width="20.25390625" style="0" hidden="1" customWidth="1"/>
    <col min="34" max="34" width="36.625" style="0" hidden="1" customWidth="1"/>
    <col min="35" max="35" width="25.375" style="0" customWidth="1"/>
    <col min="36" max="36" width="10.75390625" style="0" customWidth="1"/>
    <col min="37" max="37" width="16.00390625" style="0" customWidth="1"/>
    <col min="38" max="38" width="13.125" style="0" customWidth="1"/>
    <col min="39" max="40" width="23.875" style="0" customWidth="1"/>
    <col min="41" max="41" width="40.25390625" style="0" customWidth="1"/>
    <col min="42" max="42" width="10.625" style="0" customWidth="1"/>
    <col min="43" max="43" width="14.75390625" style="0" customWidth="1"/>
    <col min="44" max="44" width="13.875" style="0" customWidth="1"/>
    <col min="45" max="45" width="9.125" style="7" customWidth="1"/>
    <col min="46" max="48" width="0" style="7" hidden="1" customWidth="1"/>
    <col min="49" max="51" width="12.25390625" style="7" hidden="1" customWidth="1"/>
    <col min="52" max="52" width="11.00390625" style="7" hidden="1" customWidth="1"/>
    <col min="53" max="16384" width="9.125" style="7" customWidth="1"/>
  </cols>
  <sheetData>
    <row r="1" spans="1:44" s="6" customFormat="1" ht="16.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1"/>
      <c r="O1" s="1"/>
      <c r="P1" s="1"/>
      <c r="Q1" s="1"/>
      <c r="R1" s="3"/>
      <c r="S1" s="1"/>
      <c r="T1" s="1" t="s">
        <v>1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5"/>
      <c r="AO1" s="5"/>
      <c r="AP1" s="4"/>
      <c r="AQ1" s="1"/>
      <c r="AR1" s="1"/>
    </row>
    <row r="2" spans="2:8" ht="12.75" customHeight="1" hidden="1">
      <c r="B2" s="2"/>
      <c r="C2" s="2"/>
      <c r="D2" s="2"/>
      <c r="E2" s="2"/>
      <c r="F2" s="2"/>
      <c r="G2" s="2"/>
      <c r="H2" s="2"/>
    </row>
    <row r="3" spans="2:44" ht="13.5" thickBot="1">
      <c r="B3" s="8"/>
      <c r="C3" s="8"/>
      <c r="D3" s="8"/>
      <c r="E3" s="8"/>
      <c r="F3" s="8"/>
      <c r="G3" s="8"/>
      <c r="H3" s="8"/>
      <c r="I3" s="9"/>
      <c r="K3" s="10"/>
      <c r="L3" s="9"/>
      <c r="M3" s="9"/>
      <c r="T3" s="9"/>
      <c r="Y3" s="11"/>
      <c r="AE3" s="9"/>
      <c r="AM3" s="9"/>
      <c r="AN3" s="9"/>
      <c r="AO3" s="9"/>
      <c r="AP3" s="9"/>
      <c r="AQ3" s="9"/>
      <c r="AR3" s="9"/>
    </row>
    <row r="4" spans="1:45" ht="13.5" thickTop="1">
      <c r="A4" s="12" t="s">
        <v>2</v>
      </c>
      <c r="B4" s="13"/>
      <c r="C4" s="14"/>
      <c r="D4" s="14"/>
      <c r="E4" s="14"/>
      <c r="F4" s="14"/>
      <c r="G4" s="14"/>
      <c r="H4" s="15"/>
      <c r="I4" s="16"/>
      <c r="J4" s="17"/>
      <c r="K4" s="17"/>
      <c r="L4" s="17"/>
      <c r="M4" s="17"/>
      <c r="N4" s="17"/>
      <c r="O4" s="17"/>
      <c r="P4" s="17"/>
      <c r="Q4" s="18"/>
      <c r="R4" s="16"/>
      <c r="S4" s="17"/>
      <c r="T4" s="17"/>
      <c r="U4" s="17"/>
      <c r="V4" s="17"/>
      <c r="W4" s="17"/>
      <c r="X4" s="18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9"/>
      <c r="AM4" s="16"/>
      <c r="AN4" s="17"/>
      <c r="AO4" s="17"/>
      <c r="AP4" s="17"/>
      <c r="AQ4" s="17"/>
      <c r="AR4" s="19"/>
      <c r="AS4" s="20"/>
    </row>
    <row r="5" spans="1:45" ht="13.5" thickBot="1">
      <c r="A5" s="21"/>
      <c r="B5" s="22"/>
      <c r="C5" s="23"/>
      <c r="D5" s="23"/>
      <c r="E5" s="24" t="s">
        <v>3</v>
      </c>
      <c r="F5" s="25"/>
      <c r="G5" s="26"/>
      <c r="H5" s="27"/>
      <c r="I5" s="28"/>
      <c r="J5" s="23"/>
      <c r="K5" s="23"/>
      <c r="L5" s="29"/>
      <c r="M5" s="29"/>
      <c r="N5" s="24" t="s">
        <v>4</v>
      </c>
      <c r="O5" s="25"/>
      <c r="P5" s="26"/>
      <c r="Q5" s="27"/>
      <c r="R5" s="28"/>
      <c r="S5" s="23"/>
      <c r="T5" s="23"/>
      <c r="U5" s="24" t="s">
        <v>5</v>
      </c>
      <c r="V5" s="25"/>
      <c r="W5" s="26"/>
      <c r="X5" s="27"/>
      <c r="Y5" s="30"/>
      <c r="Z5" s="23"/>
      <c r="AA5" s="23"/>
      <c r="AB5" s="29"/>
      <c r="AC5" s="29"/>
      <c r="AD5" s="29"/>
      <c r="AE5" s="29"/>
      <c r="AF5" s="29"/>
      <c r="AG5" s="29"/>
      <c r="AH5" s="29"/>
      <c r="AI5" s="24" t="s">
        <v>6</v>
      </c>
      <c r="AJ5" s="25"/>
      <c r="AK5" s="26"/>
      <c r="AL5" s="31"/>
      <c r="AM5" s="28"/>
      <c r="AN5" s="23"/>
      <c r="AO5" s="24" t="s">
        <v>7</v>
      </c>
      <c r="AP5" s="25"/>
      <c r="AQ5" s="26"/>
      <c r="AR5" s="31"/>
      <c r="AS5" s="32"/>
    </row>
    <row r="6" spans="1:45" ht="159.75" customHeight="1" thickBot="1">
      <c r="A6" s="21"/>
      <c r="B6" s="33" t="s">
        <v>8</v>
      </c>
      <c r="C6" s="33" t="s">
        <v>9</v>
      </c>
      <c r="D6" s="33" t="s">
        <v>10</v>
      </c>
      <c r="E6" s="33" t="s">
        <v>11</v>
      </c>
      <c r="F6" s="34" t="s">
        <v>12</v>
      </c>
      <c r="G6" s="34" t="s">
        <v>13</v>
      </c>
      <c r="H6" s="35" t="s">
        <v>14</v>
      </c>
      <c r="I6" s="33" t="s">
        <v>15</v>
      </c>
      <c r="J6" s="33" t="s">
        <v>16</v>
      </c>
      <c r="K6" s="33" t="s">
        <v>17</v>
      </c>
      <c r="L6" s="33" t="s">
        <v>18</v>
      </c>
      <c r="M6" s="33" t="s">
        <v>19</v>
      </c>
      <c r="N6" s="33" t="s">
        <v>20</v>
      </c>
      <c r="O6" s="34" t="s">
        <v>12</v>
      </c>
      <c r="P6" s="34" t="s">
        <v>13</v>
      </c>
      <c r="Q6" s="35" t="s">
        <v>14</v>
      </c>
      <c r="R6" s="33" t="s">
        <v>21</v>
      </c>
      <c r="S6" s="33" t="s">
        <v>22</v>
      </c>
      <c r="T6" s="33" t="s">
        <v>23</v>
      </c>
      <c r="U6" s="33" t="s">
        <v>24</v>
      </c>
      <c r="V6" s="34" t="s">
        <v>12</v>
      </c>
      <c r="W6" s="34" t="s">
        <v>13</v>
      </c>
      <c r="X6" s="35" t="s">
        <v>14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3" t="s">
        <v>31</v>
      </c>
      <c r="AF6" s="36" t="s">
        <v>32</v>
      </c>
      <c r="AG6" s="36" t="s">
        <v>33</v>
      </c>
      <c r="AH6" s="36" t="s">
        <v>34</v>
      </c>
      <c r="AI6" s="33" t="s">
        <v>35</v>
      </c>
      <c r="AJ6" s="34" t="s">
        <v>12</v>
      </c>
      <c r="AK6" s="34" t="s">
        <v>13</v>
      </c>
      <c r="AL6" s="34" t="s">
        <v>14</v>
      </c>
      <c r="AM6" s="37" t="s">
        <v>36</v>
      </c>
      <c r="AN6" s="33" t="s">
        <v>37</v>
      </c>
      <c r="AO6" s="33" t="s">
        <v>38</v>
      </c>
      <c r="AP6" s="34" t="s">
        <v>12</v>
      </c>
      <c r="AQ6" s="34" t="s">
        <v>13</v>
      </c>
      <c r="AR6" s="34" t="s">
        <v>14</v>
      </c>
      <c r="AS6" s="38" t="s">
        <v>39</v>
      </c>
    </row>
    <row r="7" spans="1:45" ht="52.5" thickBot="1" thickTop="1">
      <c r="A7" s="39"/>
      <c r="B7" s="40" t="s">
        <v>40</v>
      </c>
      <c r="C7" s="40" t="s">
        <v>41</v>
      </c>
      <c r="D7" s="40" t="s">
        <v>42</v>
      </c>
      <c r="E7" s="40" t="s">
        <v>43</v>
      </c>
      <c r="F7" s="40" t="s">
        <v>44</v>
      </c>
      <c r="G7" s="40" t="s">
        <v>44</v>
      </c>
      <c r="H7" s="41">
        <v>1</v>
      </c>
      <c r="I7" s="40" t="s">
        <v>40</v>
      </c>
      <c r="J7" s="40" t="s">
        <v>41</v>
      </c>
      <c r="K7" s="40" t="s">
        <v>42</v>
      </c>
      <c r="L7" s="40" t="s">
        <v>45</v>
      </c>
      <c r="M7" s="40"/>
      <c r="N7" s="40" t="s">
        <v>46</v>
      </c>
      <c r="O7" s="42" t="s">
        <v>44</v>
      </c>
      <c r="P7" s="43" t="s">
        <v>47</v>
      </c>
      <c r="Q7" s="41">
        <v>1</v>
      </c>
      <c r="R7" s="40" t="s">
        <v>40</v>
      </c>
      <c r="S7" s="40" t="s">
        <v>41</v>
      </c>
      <c r="T7" s="40" t="s">
        <v>42</v>
      </c>
      <c r="U7" s="40" t="s">
        <v>48</v>
      </c>
      <c r="V7" s="40" t="s">
        <v>49</v>
      </c>
      <c r="W7" s="40" t="s">
        <v>49</v>
      </c>
      <c r="X7" s="41">
        <v>1</v>
      </c>
      <c r="Y7" s="40" t="s">
        <v>40</v>
      </c>
      <c r="Z7" s="40" t="s">
        <v>41</v>
      </c>
      <c r="AA7" s="40" t="s">
        <v>42</v>
      </c>
      <c r="AB7" s="40" t="s">
        <v>50</v>
      </c>
      <c r="AC7" s="40" t="s">
        <v>45</v>
      </c>
      <c r="AD7" s="40" t="s">
        <v>51</v>
      </c>
      <c r="AE7" s="40" t="s">
        <v>52</v>
      </c>
      <c r="AF7" s="44"/>
      <c r="AG7" s="44"/>
      <c r="AH7" s="44"/>
      <c r="AI7" s="40" t="s">
        <v>53</v>
      </c>
      <c r="AJ7" s="40" t="s">
        <v>54</v>
      </c>
      <c r="AK7" s="40" t="s">
        <v>55</v>
      </c>
      <c r="AL7" s="40">
        <v>1.5</v>
      </c>
      <c r="AM7" s="40" t="s">
        <v>40</v>
      </c>
      <c r="AN7" s="40" t="s">
        <v>41</v>
      </c>
      <c r="AO7" s="40" t="s">
        <v>56</v>
      </c>
      <c r="AP7" s="40" t="s">
        <v>44</v>
      </c>
      <c r="AQ7" s="40" t="s">
        <v>44</v>
      </c>
      <c r="AR7" s="40">
        <v>1.5</v>
      </c>
      <c r="AS7" s="45"/>
    </row>
    <row r="8" spans="1:45" ht="15" thickBot="1" thickTop="1">
      <c r="A8" s="46"/>
      <c r="B8" s="47" t="s">
        <v>57</v>
      </c>
      <c r="C8" s="47" t="s">
        <v>57</v>
      </c>
      <c r="D8" s="47" t="s">
        <v>57</v>
      </c>
      <c r="E8" s="47"/>
      <c r="F8" s="47"/>
      <c r="G8" s="47"/>
      <c r="H8" s="48"/>
      <c r="I8" s="49"/>
      <c r="J8" s="47"/>
      <c r="K8" s="47"/>
      <c r="L8" s="47"/>
      <c r="M8" s="47"/>
      <c r="N8" s="47"/>
      <c r="O8" s="47"/>
      <c r="P8" s="47"/>
      <c r="Q8" s="48"/>
      <c r="R8" s="49"/>
      <c r="S8" s="47"/>
      <c r="T8" s="47"/>
      <c r="U8" s="47"/>
      <c r="V8" s="47"/>
      <c r="W8" s="47"/>
      <c r="X8" s="48"/>
      <c r="Y8" s="50" t="s">
        <v>58</v>
      </c>
      <c r="Z8" s="47"/>
      <c r="AA8" s="47"/>
      <c r="AB8" s="47"/>
      <c r="AC8" s="51"/>
      <c r="AD8" s="47"/>
      <c r="AE8" s="47"/>
      <c r="AF8" s="47"/>
      <c r="AG8" s="47"/>
      <c r="AH8" s="47"/>
      <c r="AI8" s="47"/>
      <c r="AJ8" s="47"/>
      <c r="AK8" s="47"/>
      <c r="AL8" s="47"/>
      <c r="AM8" s="49"/>
      <c r="AN8" s="47"/>
      <c r="AO8" s="47"/>
      <c r="AP8" s="47"/>
      <c r="AQ8" s="47"/>
      <c r="AR8" s="47"/>
      <c r="AS8" s="52"/>
    </row>
    <row r="9" spans="1:52" ht="14.25" thickBot="1" thickTop="1">
      <c r="A9" s="53"/>
      <c r="B9" s="54"/>
      <c r="C9" s="54"/>
      <c r="D9" s="54"/>
      <c r="E9" s="54"/>
      <c r="F9" s="54"/>
      <c r="G9" s="54"/>
      <c r="H9" s="55"/>
      <c r="I9" s="56"/>
      <c r="J9" s="54"/>
      <c r="K9" s="54"/>
      <c r="L9" s="54"/>
      <c r="M9" s="54"/>
      <c r="N9" s="54"/>
      <c r="O9" s="54"/>
      <c r="P9" s="54"/>
      <c r="Q9" s="55"/>
      <c r="R9" s="56"/>
      <c r="S9" s="54"/>
      <c r="T9" s="54"/>
      <c r="U9" s="54"/>
      <c r="V9" s="54"/>
      <c r="W9" s="54"/>
      <c r="X9" s="55"/>
      <c r="Y9" s="57"/>
      <c r="Z9" s="54"/>
      <c r="AA9" s="54"/>
      <c r="AB9" s="54"/>
      <c r="AC9" s="54"/>
      <c r="AD9" s="54"/>
      <c r="AE9" s="54"/>
      <c r="AF9" s="54"/>
      <c r="AG9" s="54"/>
      <c r="AH9" s="54"/>
      <c r="AI9" s="58" t="s">
        <v>59</v>
      </c>
      <c r="AJ9" s="54"/>
      <c r="AK9" s="54"/>
      <c r="AL9" s="54"/>
      <c r="AM9" s="56"/>
      <c r="AN9" s="54"/>
      <c r="AO9" s="54"/>
      <c r="AP9" s="54"/>
      <c r="AQ9" s="54"/>
      <c r="AR9" s="54"/>
      <c r="AS9" s="59"/>
      <c r="AV9" s="7" t="s">
        <v>60</v>
      </c>
      <c r="AW9" s="60" t="s">
        <v>61</v>
      </c>
      <c r="AX9" s="7" t="s">
        <v>62</v>
      </c>
      <c r="AY9" s="7" t="s">
        <v>63</v>
      </c>
      <c r="AZ9" s="7" t="s">
        <v>64</v>
      </c>
    </row>
    <row r="10" spans="1:52" ht="13.5" thickTop="1">
      <c r="A10" s="61" t="s">
        <v>65</v>
      </c>
      <c r="B10" s="62">
        <v>2083416.08582</v>
      </c>
      <c r="C10" s="62">
        <v>424385.76827</v>
      </c>
      <c r="D10" s="62">
        <v>1844536.55277</v>
      </c>
      <c r="E10" s="63">
        <f>IF(AND(B10=0,D10=0),0,B10/(IF(C10&gt;0,C10,0)+D10))</f>
        <v>0.91824037627918</v>
      </c>
      <c r="F10" s="64">
        <f>IF(E10&lt;=1.05,1,0)</f>
        <v>1</v>
      </c>
      <c r="G10" s="65"/>
      <c r="H10" s="66">
        <f aca="true" t="shared" si="0" ref="H10:H42">F10+G10</f>
        <v>1</v>
      </c>
      <c r="I10" s="67">
        <v>2205147.9</v>
      </c>
      <c r="J10" s="68">
        <v>6372137.96525</v>
      </c>
      <c r="K10" s="69">
        <v>3745880.26052</v>
      </c>
      <c r="L10" s="67">
        <v>76770.71259000001</v>
      </c>
      <c r="M10" s="67">
        <v>0</v>
      </c>
      <c r="N10" s="70">
        <f>(I10-M10)/(J10-K10-L10)</f>
        <v>0.8649378901710075</v>
      </c>
      <c r="O10" s="64">
        <f aca="true" t="shared" si="1" ref="O10:O16">IF(N10&lt;=1,1,0)</f>
        <v>1</v>
      </c>
      <c r="P10" s="65"/>
      <c r="Q10" s="66">
        <f aca="true" t="shared" si="2" ref="Q10:Q42">O10+P10</f>
        <v>1</v>
      </c>
      <c r="R10" s="71">
        <v>255435.4</v>
      </c>
      <c r="S10" s="62">
        <v>6724888.983229999</v>
      </c>
      <c r="T10" s="69">
        <v>2220815.10058</v>
      </c>
      <c r="U10" s="63">
        <f aca="true" t="shared" si="3" ref="U10:U42">R10/(S10-T10)</f>
        <v>0.056712080364390696</v>
      </c>
      <c r="V10" s="64">
        <f aca="true" t="shared" si="4" ref="V10:V16">IF(U10&lt;=0.15,1,0)</f>
        <v>1</v>
      </c>
      <c r="W10" s="65"/>
      <c r="X10" s="66">
        <f>V10+W10</f>
        <v>1</v>
      </c>
      <c r="Y10" s="62">
        <v>352751.01798</v>
      </c>
      <c r="Z10" s="72">
        <v>0</v>
      </c>
      <c r="AA10" s="72">
        <v>111100.01798</v>
      </c>
      <c r="AB10" s="73">
        <v>0</v>
      </c>
      <c r="AC10" s="73">
        <f aca="true" t="shared" si="5" ref="AC10:AE42">J10</f>
        <v>6372137.96525</v>
      </c>
      <c r="AD10" s="73">
        <f t="shared" si="5"/>
        <v>3745880.26052</v>
      </c>
      <c r="AE10" s="73">
        <f t="shared" si="5"/>
        <v>76770.71259000001</v>
      </c>
      <c r="AF10" s="73">
        <f>AC10-AD10-AE10</f>
        <v>2549486.99214</v>
      </c>
      <c r="AG10" s="73">
        <f aca="true" t="shared" si="6" ref="AG10:AG17">AF10*10%</f>
        <v>254948.69921400002</v>
      </c>
      <c r="AH10" s="73">
        <f aca="true" t="shared" si="7" ref="AH10:AH15">IF(AA10&gt;0,AA10,0)+AG10+IF(AB10&gt;0,AB10,0)</f>
        <v>366048.717194</v>
      </c>
      <c r="AI10" s="74">
        <f>IF((Y10-IF(Z10&gt;0,Z10,0)-IF(AA10&gt;0,AA10,0)-IF(AB10&gt;0,AB10,0))/(AC10-AD10-AE10)&gt;0,(Y10-IF(Z10&gt;0,Z10,0)-IF(AA10&gt;0,AA10,0)-IF(AB10&gt;0,AB10,0))/(AC10-AD10-AE10),0)</f>
        <v>0.09478416667549336</v>
      </c>
      <c r="AJ10" s="75">
        <f aca="true" t="shared" si="8" ref="AJ10:AJ24">IF(AI10&lt;=0.105,1.5,0)</f>
        <v>1.5</v>
      </c>
      <c r="AK10" s="76"/>
      <c r="AL10" s="77">
        <f aca="true" t="shared" si="9" ref="AL10:AL42">AJ10+AK10</f>
        <v>1.5</v>
      </c>
      <c r="AM10" s="78">
        <v>230016.4</v>
      </c>
      <c r="AN10" s="76">
        <v>249202.6</v>
      </c>
      <c r="AO10" s="79">
        <f aca="true" t="shared" si="10" ref="AO10:AO42">AM10/AN10</f>
        <v>0.9230096315206984</v>
      </c>
      <c r="AP10" s="80">
        <f aca="true" t="shared" si="11" ref="AP10:AP16">IF(AO10&lt;=1.005,1.5,0)</f>
        <v>1.5</v>
      </c>
      <c r="AQ10" s="65"/>
      <c r="AR10" s="81">
        <f aca="true" t="shared" si="12" ref="AR10:AR42">AP10+AQ10</f>
        <v>1.5</v>
      </c>
      <c r="AS10" s="82">
        <f>H10+Q10+X10+AL10+AR10</f>
        <v>6</v>
      </c>
      <c r="AU10" s="83">
        <f>(AD10+AE10-T10)/(AC10-T10)</f>
        <v>0.3858615493780281</v>
      </c>
      <c r="AV10" s="7">
        <f>IF(($AU10&lt;=10%),1,0)</f>
        <v>0</v>
      </c>
      <c r="AW10" s="84">
        <f>IF(AND(AU10&gt;10%,AU10&lt;30%),1,0)</f>
        <v>0</v>
      </c>
      <c r="AX10" s="84">
        <f>IF(AND(AU10&gt;30%,AU10&lt;70%),1,0)</f>
        <v>1</v>
      </c>
      <c r="AY10" s="84">
        <f>IF(AND(AU10&gt;70%,AU10&lt;90%),1,0)</f>
        <v>0</v>
      </c>
      <c r="AZ10" s="7">
        <f>IF(($AU10&gt;=90%),1,0)</f>
        <v>0</v>
      </c>
    </row>
    <row r="11" spans="1:52" ht="12.75">
      <c r="A11" s="85" t="s">
        <v>66</v>
      </c>
      <c r="B11" s="86">
        <v>27620</v>
      </c>
      <c r="C11" s="86">
        <v>-2453.6</v>
      </c>
      <c r="D11" s="86">
        <v>33650</v>
      </c>
      <c r="E11" s="87">
        <f aca="true" t="shared" si="13" ref="E11:E42">IF(AND(B11=0,D11=0),0,B11/(IF(C11&gt;0,C11,0)+D11))</f>
        <v>0.8208023774145616</v>
      </c>
      <c r="F11" s="88"/>
      <c r="G11" s="89">
        <f>IF(E11&lt;=1.05,1,0)</f>
        <v>1</v>
      </c>
      <c r="H11" s="90">
        <f t="shared" si="0"/>
        <v>1</v>
      </c>
      <c r="I11" s="86">
        <v>27620</v>
      </c>
      <c r="J11" s="91">
        <v>697491.21763</v>
      </c>
      <c r="K11" s="92">
        <v>490157.8865</v>
      </c>
      <c r="L11" s="86">
        <v>137846.78184</v>
      </c>
      <c r="M11" s="86">
        <v>11620</v>
      </c>
      <c r="N11" s="87">
        <f>(I11-M11)/(J11-K11-L11)</f>
        <v>0.23026039087398772</v>
      </c>
      <c r="O11" s="88"/>
      <c r="P11" s="89">
        <f>IF(N11&lt;=0.5,1,0)</f>
        <v>1</v>
      </c>
      <c r="Q11" s="90">
        <f t="shared" si="2"/>
        <v>1</v>
      </c>
      <c r="R11" s="93">
        <v>2771.2</v>
      </c>
      <c r="S11" s="86">
        <v>693638.9269</v>
      </c>
      <c r="T11" s="92">
        <v>374024.19057</v>
      </c>
      <c r="U11" s="87">
        <f t="shared" si="3"/>
        <v>0.008670438765810707</v>
      </c>
      <c r="V11" s="88"/>
      <c r="W11" s="89">
        <f>IF(U11&lt;=0.15,1,0)</f>
        <v>1</v>
      </c>
      <c r="X11" s="90">
        <f aca="true" t="shared" si="14" ref="X11:X42">V11+W11</f>
        <v>1</v>
      </c>
      <c r="Y11" s="86">
        <v>-3852.29073</v>
      </c>
      <c r="Z11" s="94">
        <v>0</v>
      </c>
      <c r="AA11" s="94">
        <v>2177.70927</v>
      </c>
      <c r="AB11" s="94">
        <v>11620</v>
      </c>
      <c r="AC11" s="94">
        <f t="shared" si="5"/>
        <v>697491.21763</v>
      </c>
      <c r="AD11" s="94">
        <f t="shared" si="5"/>
        <v>490157.8865</v>
      </c>
      <c r="AE11" s="94">
        <f t="shared" si="5"/>
        <v>137846.78184</v>
      </c>
      <c r="AF11" s="94">
        <f aca="true" t="shared" si="15" ref="AF11:AF42">AC11-AD11-AE11</f>
        <v>69486.54928999994</v>
      </c>
      <c r="AG11" s="94">
        <f t="shared" si="6"/>
        <v>6948.654928999994</v>
      </c>
      <c r="AH11" s="94">
        <f t="shared" si="7"/>
        <v>20746.364198999996</v>
      </c>
      <c r="AI11" s="95">
        <f>IF((Y11-IF(Z11&gt;0,Z11,0)-IF(AA11&gt;0,AA11,0)-IF(AB11&gt;0,AB11,0))/(AC11-AD11-AE11)&gt;0,(Y11-IF(Z11&gt;0,Z11,0)-IF(AA11&gt;0,AA11,0)-IF(AB11&gt;0,AB11,0))/(AC11-AD11-AE11),0)</f>
        <v>0</v>
      </c>
      <c r="AJ11" s="96"/>
      <c r="AK11" s="97">
        <f>IF(AI11&lt;=0.055,1.5,0)</f>
        <v>1.5</v>
      </c>
      <c r="AL11" s="90">
        <f t="shared" si="9"/>
        <v>1.5</v>
      </c>
      <c r="AM11" s="98">
        <v>28476.3</v>
      </c>
      <c r="AN11" s="89">
        <v>29998.9</v>
      </c>
      <c r="AO11" s="99">
        <f t="shared" si="10"/>
        <v>0.9492448056428735</v>
      </c>
      <c r="AP11" s="96"/>
      <c r="AQ11" s="97">
        <f>IF(AO11&lt;=1.005,1.5,0)</f>
        <v>1.5</v>
      </c>
      <c r="AR11" s="100">
        <f t="shared" si="12"/>
        <v>1.5</v>
      </c>
      <c r="AS11" s="101">
        <f aca="true" t="shared" si="16" ref="AS11:AS42">H11+Q11+X11+AL11+AR11</f>
        <v>6</v>
      </c>
      <c r="AT11" s="102"/>
      <c r="AU11" s="83">
        <f aca="true" t="shared" si="17" ref="AU11:AU42">(AD11+AE11-T11)/(AC11-T11)</f>
        <v>0.7851819707202775</v>
      </c>
      <c r="AV11" s="7">
        <f aca="true" t="shared" si="18" ref="AV11:AV42">IF(($AU11&lt;=10%),1,0)</f>
        <v>0</v>
      </c>
      <c r="AW11" s="84">
        <f aca="true" t="shared" si="19" ref="AW11:AW42">IF(AND(AU11&gt;10%,AU11&lt;30%),1,0)</f>
        <v>0</v>
      </c>
      <c r="AX11" s="84">
        <f aca="true" t="shared" si="20" ref="AX11:AX42">IF(AND(AU11&gt;30%,AU11&lt;70%),1,0)</f>
        <v>0</v>
      </c>
      <c r="AY11" s="84">
        <f aca="true" t="shared" si="21" ref="AY11:AY42">IF(AND(AU11&gt;70%,AU11&lt;90%),1,0)</f>
        <v>1</v>
      </c>
      <c r="AZ11" s="7">
        <f aca="true" t="shared" si="22" ref="AZ11:AZ42">IF(($AU11&gt;=90%),1,0)</f>
        <v>0</v>
      </c>
    </row>
    <row r="12" spans="1:52" ht="12.75">
      <c r="A12" s="103" t="s">
        <v>67</v>
      </c>
      <c r="B12" s="62">
        <v>53000</v>
      </c>
      <c r="C12" s="62">
        <v>58207.52786</v>
      </c>
      <c r="D12" s="62">
        <v>43640</v>
      </c>
      <c r="E12" s="63">
        <f t="shared" si="13"/>
        <v>0.5203857286831154</v>
      </c>
      <c r="F12" s="104">
        <f>IF(E12&lt;=1.05,1,0)</f>
        <v>1</v>
      </c>
      <c r="G12" s="65"/>
      <c r="H12" s="66">
        <f t="shared" si="0"/>
        <v>1</v>
      </c>
      <c r="I12" s="67">
        <v>84800</v>
      </c>
      <c r="J12" s="68">
        <v>864853.63364</v>
      </c>
      <c r="K12" s="69">
        <v>510197.56396</v>
      </c>
      <c r="L12" s="67">
        <v>117141.2244</v>
      </c>
      <c r="M12" s="67">
        <v>0</v>
      </c>
      <c r="N12" s="63">
        <f aca="true" t="shared" si="23" ref="N12:N41">(I12-M12)/(J12-K12-L12)</f>
        <v>0.3570303148842402</v>
      </c>
      <c r="O12" s="64">
        <f t="shared" si="1"/>
        <v>1</v>
      </c>
      <c r="P12" s="65"/>
      <c r="Q12" s="66">
        <f t="shared" si="2"/>
        <v>1</v>
      </c>
      <c r="R12" s="105">
        <v>5658.1</v>
      </c>
      <c r="S12" s="62">
        <v>915935.01201</v>
      </c>
      <c r="T12" s="69">
        <v>344447.33775999997</v>
      </c>
      <c r="U12" s="63">
        <f t="shared" si="3"/>
        <v>0.009900650976288315</v>
      </c>
      <c r="V12" s="64">
        <f t="shared" si="4"/>
        <v>1</v>
      </c>
      <c r="W12" s="65"/>
      <c r="X12" s="66">
        <f t="shared" si="14"/>
        <v>1</v>
      </c>
      <c r="Y12" s="62">
        <v>51081.37837</v>
      </c>
      <c r="Z12" s="72">
        <v>0</v>
      </c>
      <c r="AA12" s="72">
        <v>41721.37837</v>
      </c>
      <c r="AB12" s="73">
        <v>0</v>
      </c>
      <c r="AC12" s="73">
        <f t="shared" si="5"/>
        <v>864853.63364</v>
      </c>
      <c r="AD12" s="73">
        <f t="shared" si="5"/>
        <v>510197.56396</v>
      </c>
      <c r="AE12" s="73">
        <f t="shared" si="5"/>
        <v>117141.2244</v>
      </c>
      <c r="AF12" s="73">
        <f t="shared" si="15"/>
        <v>237514.84528</v>
      </c>
      <c r="AG12" s="73">
        <f t="shared" si="6"/>
        <v>23751.484528</v>
      </c>
      <c r="AH12" s="73">
        <f t="shared" si="7"/>
        <v>65472.862898</v>
      </c>
      <c r="AI12" s="74">
        <f>IF((Y12-IF(Z12&gt;0,Z12,0)-IF(AA12&gt;0,AA12,0)-IF(AB12&gt;0,AB12,0))/(AC12-AD12-AE12)&gt;0,(Y12-IF(Z12&gt;0,Z12,0)-IF(AA12&gt;0,AA12,0)-IF(AB12&gt;0,AB12,0))/(AC12-AD12-AE12),0)</f>
        <v>0.039408063057977456</v>
      </c>
      <c r="AJ12" s="75">
        <f t="shared" si="8"/>
        <v>1.5</v>
      </c>
      <c r="AK12" s="65"/>
      <c r="AL12" s="66">
        <f t="shared" si="9"/>
        <v>1.5</v>
      </c>
      <c r="AM12" s="78">
        <v>31270</v>
      </c>
      <c r="AN12" s="76">
        <v>33868.7</v>
      </c>
      <c r="AO12" s="79">
        <f t="shared" si="10"/>
        <v>0.9232713390239367</v>
      </c>
      <c r="AP12" s="80">
        <f t="shared" si="11"/>
        <v>1.5</v>
      </c>
      <c r="AQ12" s="65"/>
      <c r="AR12" s="81">
        <f t="shared" si="12"/>
        <v>1.5</v>
      </c>
      <c r="AS12" s="106">
        <f t="shared" si="16"/>
        <v>6</v>
      </c>
      <c r="AU12" s="83">
        <f t="shared" si="17"/>
        <v>0.543597287042107</v>
      </c>
      <c r="AV12" s="7">
        <f t="shared" si="18"/>
        <v>0</v>
      </c>
      <c r="AW12" s="84">
        <f t="shared" si="19"/>
        <v>0</v>
      </c>
      <c r="AX12" s="84">
        <f t="shared" si="20"/>
        <v>1</v>
      </c>
      <c r="AY12" s="84">
        <f t="shared" si="21"/>
        <v>0</v>
      </c>
      <c r="AZ12" s="7">
        <f t="shared" si="22"/>
        <v>0</v>
      </c>
    </row>
    <row r="13" spans="1:52" ht="12.75">
      <c r="A13" s="103" t="s">
        <v>68</v>
      </c>
      <c r="B13" s="62">
        <v>36700</v>
      </c>
      <c r="C13" s="62">
        <v>19370.75046</v>
      </c>
      <c r="D13" s="62">
        <v>37700</v>
      </c>
      <c r="E13" s="63">
        <f t="shared" si="13"/>
        <v>0.6430614580006699</v>
      </c>
      <c r="F13" s="64">
        <f>IF(E13&lt;=1.05,1,0)</f>
        <v>1</v>
      </c>
      <c r="G13" s="65"/>
      <c r="H13" s="66">
        <f t="shared" si="0"/>
        <v>1</v>
      </c>
      <c r="I13" s="67">
        <v>30000</v>
      </c>
      <c r="J13" s="68">
        <v>544648.00522</v>
      </c>
      <c r="K13" s="69">
        <v>256249.02387</v>
      </c>
      <c r="L13" s="67">
        <v>76661.14996</v>
      </c>
      <c r="M13" s="67">
        <v>0</v>
      </c>
      <c r="N13" s="63">
        <f t="shared" si="23"/>
        <v>0.1416846474862727</v>
      </c>
      <c r="O13" s="64">
        <f t="shared" si="1"/>
        <v>1</v>
      </c>
      <c r="P13" s="65"/>
      <c r="Q13" s="66">
        <f t="shared" si="2"/>
        <v>1</v>
      </c>
      <c r="R13" s="105">
        <v>2736</v>
      </c>
      <c r="S13" s="62">
        <v>553128.53293</v>
      </c>
      <c r="T13" s="69">
        <v>207732.24886000002</v>
      </c>
      <c r="U13" s="63">
        <f t="shared" si="3"/>
        <v>0.007921335944209252</v>
      </c>
      <c r="V13" s="64">
        <f t="shared" si="4"/>
        <v>1</v>
      </c>
      <c r="W13" s="65"/>
      <c r="X13" s="66">
        <f t="shared" si="14"/>
        <v>1</v>
      </c>
      <c r="Y13" s="62">
        <v>8480.52771</v>
      </c>
      <c r="Z13" s="72">
        <v>0</v>
      </c>
      <c r="AA13" s="72">
        <v>9480.52771</v>
      </c>
      <c r="AB13" s="73">
        <v>0</v>
      </c>
      <c r="AC13" s="73">
        <f t="shared" si="5"/>
        <v>544648.00522</v>
      </c>
      <c r="AD13" s="73">
        <f t="shared" si="5"/>
        <v>256249.02387</v>
      </c>
      <c r="AE13" s="73">
        <f t="shared" si="5"/>
        <v>76661.14996</v>
      </c>
      <c r="AF13" s="73">
        <f t="shared" si="15"/>
        <v>211737.83139</v>
      </c>
      <c r="AG13" s="73">
        <f t="shared" si="6"/>
        <v>21173.783139000003</v>
      </c>
      <c r="AH13" s="73">
        <f t="shared" si="7"/>
        <v>30654.310849</v>
      </c>
      <c r="AI13" s="74">
        <f>IF((Y13-IF(Z13&gt;0,Z13,0)-IF(AA13&gt;0,AA13,0)-IF(AB13&gt;0,AB13,0))/(AC13-AD13-AE13)&gt;0,(Y13-IF(Z13&gt;0,Z13,0)-IF(AA13&gt;0,AA13,0)-IF(AB13&gt;0,AB13,0))/(AC13-AD13-AE13),0)</f>
        <v>0</v>
      </c>
      <c r="AJ13" s="75">
        <f t="shared" si="8"/>
        <v>1.5</v>
      </c>
      <c r="AK13" s="65"/>
      <c r="AL13" s="66">
        <f t="shared" si="9"/>
        <v>1.5</v>
      </c>
      <c r="AM13" s="78">
        <v>19274.2</v>
      </c>
      <c r="AN13" s="76">
        <v>19458.2</v>
      </c>
      <c r="AO13" s="107">
        <f t="shared" si="10"/>
        <v>0.990543832420265</v>
      </c>
      <c r="AP13" s="80">
        <f t="shared" si="11"/>
        <v>1.5</v>
      </c>
      <c r="AQ13" s="65"/>
      <c r="AR13" s="81">
        <f t="shared" si="12"/>
        <v>1.5</v>
      </c>
      <c r="AS13" s="106">
        <f t="shared" si="16"/>
        <v>6</v>
      </c>
      <c r="AU13" s="83">
        <f t="shared" si="17"/>
        <v>0.3715407267454874</v>
      </c>
      <c r="AV13" s="7">
        <f t="shared" si="18"/>
        <v>0</v>
      </c>
      <c r="AW13" s="84">
        <f t="shared" si="19"/>
        <v>0</v>
      </c>
      <c r="AX13" s="84">
        <f t="shared" si="20"/>
        <v>1</v>
      </c>
      <c r="AY13" s="84">
        <f t="shared" si="21"/>
        <v>0</v>
      </c>
      <c r="AZ13" s="7">
        <f t="shared" si="22"/>
        <v>0</v>
      </c>
    </row>
    <row r="14" spans="1:52" s="9" customFormat="1" ht="12.75">
      <c r="A14" s="108" t="s">
        <v>69</v>
      </c>
      <c r="B14" s="62">
        <v>0</v>
      </c>
      <c r="C14" s="62">
        <v>9312.19543</v>
      </c>
      <c r="D14" s="62">
        <v>0</v>
      </c>
      <c r="E14" s="70">
        <f t="shared" si="13"/>
        <v>0</v>
      </c>
      <c r="F14" s="64">
        <f>IF(E14&lt;=1.05,1,0)</f>
        <v>1</v>
      </c>
      <c r="G14" s="76"/>
      <c r="H14" s="77">
        <f t="shared" si="0"/>
        <v>1</v>
      </c>
      <c r="I14" s="62">
        <v>0</v>
      </c>
      <c r="J14" s="68">
        <v>260158.45509</v>
      </c>
      <c r="K14" s="69">
        <v>169126.47977</v>
      </c>
      <c r="L14" s="62">
        <v>34709.445100000004</v>
      </c>
      <c r="M14" s="62">
        <v>0</v>
      </c>
      <c r="N14" s="70">
        <f t="shared" si="23"/>
        <v>0</v>
      </c>
      <c r="O14" s="64">
        <f t="shared" si="1"/>
        <v>1</v>
      </c>
      <c r="P14" s="76"/>
      <c r="Q14" s="77">
        <f t="shared" si="2"/>
        <v>1</v>
      </c>
      <c r="R14" s="105">
        <v>0</v>
      </c>
      <c r="S14" s="62">
        <v>258443.81985</v>
      </c>
      <c r="T14" s="69">
        <v>90749.99484</v>
      </c>
      <c r="U14" s="70">
        <f t="shared" si="3"/>
        <v>0</v>
      </c>
      <c r="V14" s="64">
        <f t="shared" si="4"/>
        <v>1</v>
      </c>
      <c r="W14" s="76"/>
      <c r="X14" s="77">
        <f t="shared" si="14"/>
        <v>1</v>
      </c>
      <c r="Y14" s="62">
        <v>-1714.63524</v>
      </c>
      <c r="Z14" s="72">
        <v>0</v>
      </c>
      <c r="AA14" s="72">
        <v>-1714.63524</v>
      </c>
      <c r="AB14" s="72">
        <v>0</v>
      </c>
      <c r="AC14" s="72">
        <f t="shared" si="5"/>
        <v>260158.45509</v>
      </c>
      <c r="AD14" s="72">
        <f t="shared" si="5"/>
        <v>169126.47977</v>
      </c>
      <c r="AE14" s="72">
        <f t="shared" si="5"/>
        <v>34709.445100000004</v>
      </c>
      <c r="AF14" s="72">
        <f t="shared" si="15"/>
        <v>56322.53021999999</v>
      </c>
      <c r="AG14" s="72">
        <f>AF14*5%</f>
        <v>2816.126511</v>
      </c>
      <c r="AH14" s="72">
        <f t="shared" si="7"/>
        <v>2816.126511</v>
      </c>
      <c r="AI14" s="109">
        <f>IF((Y14-IF(Z14&gt;0,Z14,0)-IF(AA14&gt;0,AA14,0)-IF(AB14&gt;0,AB14,0))/(AC14-AD14-AE14)&gt;0,(Y14-IF(Z14&gt;0,Z14,0)-IF(AA14&gt;0,AA14,0)-IF(AB14&gt;0,AB14,0))/(AC14-AD14-AE14),0)</f>
        <v>0</v>
      </c>
      <c r="AJ14" s="75">
        <f t="shared" si="8"/>
        <v>1.5</v>
      </c>
      <c r="AK14" s="110"/>
      <c r="AL14" s="77">
        <f t="shared" si="9"/>
        <v>1.5</v>
      </c>
      <c r="AM14" s="78">
        <v>9968.4</v>
      </c>
      <c r="AN14" s="76">
        <v>10284.8</v>
      </c>
      <c r="AO14" s="107">
        <f t="shared" si="10"/>
        <v>0.9692361543248289</v>
      </c>
      <c r="AP14" s="80">
        <f t="shared" si="11"/>
        <v>1.5</v>
      </c>
      <c r="AQ14" s="110"/>
      <c r="AR14" s="111">
        <f t="shared" si="12"/>
        <v>1.5</v>
      </c>
      <c r="AS14" s="106">
        <f t="shared" si="16"/>
        <v>6</v>
      </c>
      <c r="AT14" s="102"/>
      <c r="AU14" s="83">
        <f t="shared" si="17"/>
        <v>0.667534135326633</v>
      </c>
      <c r="AV14" s="7">
        <f t="shared" si="18"/>
        <v>0</v>
      </c>
      <c r="AW14" s="84">
        <f t="shared" si="19"/>
        <v>0</v>
      </c>
      <c r="AX14" s="84">
        <f t="shared" si="20"/>
        <v>1</v>
      </c>
      <c r="AY14" s="84">
        <f t="shared" si="21"/>
        <v>0</v>
      </c>
      <c r="AZ14" s="7">
        <f t="shared" si="22"/>
        <v>0</v>
      </c>
    </row>
    <row r="15" spans="1:52" s="9" customFormat="1" ht="12.75">
      <c r="A15" s="108" t="s">
        <v>70</v>
      </c>
      <c r="B15" s="62">
        <v>400</v>
      </c>
      <c r="C15" s="62">
        <v>10367.90202</v>
      </c>
      <c r="D15" s="62">
        <v>0</v>
      </c>
      <c r="E15" s="70">
        <f t="shared" si="13"/>
        <v>0.03858061150928971</v>
      </c>
      <c r="F15" s="64">
        <f>IF(E15&lt;=1.05,1,0)</f>
        <v>1</v>
      </c>
      <c r="G15" s="76"/>
      <c r="H15" s="77">
        <f t="shared" si="0"/>
        <v>1</v>
      </c>
      <c r="I15" s="62">
        <v>0</v>
      </c>
      <c r="J15" s="68">
        <v>270914.38532999996</v>
      </c>
      <c r="K15" s="69">
        <v>203202.41827000002</v>
      </c>
      <c r="L15" s="62">
        <v>43888.284</v>
      </c>
      <c r="M15" s="62">
        <v>0</v>
      </c>
      <c r="N15" s="70">
        <f t="shared" si="23"/>
        <v>0</v>
      </c>
      <c r="O15" s="64">
        <f t="shared" si="1"/>
        <v>1</v>
      </c>
      <c r="P15" s="76"/>
      <c r="Q15" s="77">
        <f t="shared" si="2"/>
        <v>1</v>
      </c>
      <c r="R15" s="105">
        <v>0</v>
      </c>
      <c r="S15" s="62">
        <v>278899.71995</v>
      </c>
      <c r="T15" s="69">
        <v>135963.68269999998</v>
      </c>
      <c r="U15" s="70">
        <f t="shared" si="3"/>
        <v>0</v>
      </c>
      <c r="V15" s="64">
        <f t="shared" si="4"/>
        <v>1</v>
      </c>
      <c r="W15" s="76"/>
      <c r="X15" s="77">
        <f t="shared" si="14"/>
        <v>1</v>
      </c>
      <c r="Y15" s="62">
        <v>7985.3346200000005</v>
      </c>
      <c r="Z15" s="72">
        <v>0</v>
      </c>
      <c r="AA15" s="72">
        <v>7975.3346200000005</v>
      </c>
      <c r="AB15" s="72">
        <v>0</v>
      </c>
      <c r="AC15" s="72">
        <f t="shared" si="5"/>
        <v>270914.38532999996</v>
      </c>
      <c r="AD15" s="72">
        <f t="shared" si="5"/>
        <v>203202.41827000002</v>
      </c>
      <c r="AE15" s="72">
        <f t="shared" si="5"/>
        <v>43888.284</v>
      </c>
      <c r="AF15" s="72">
        <f t="shared" si="15"/>
        <v>23823.683059999938</v>
      </c>
      <c r="AG15" s="72">
        <f>AF15*5%</f>
        <v>1191.184152999997</v>
      </c>
      <c r="AH15" s="72">
        <f t="shared" si="7"/>
        <v>9166.518772999998</v>
      </c>
      <c r="AI15" s="109">
        <f aca="true" t="shared" si="24" ref="AI15:AI42">IF((Y15-IF(Z15&gt;0,Z15,0)-IF(AA15&gt;0,AA15,0)-IF(AB15&gt;0,AB15,0))/(AC15-AD15-AE15)&gt;0,(Y15-IF(Z15&gt;0,Z15,0)-IF(AA15&gt;0,AA15,0)-IF(AB15&gt;0,AB15,0))/(AC15-AD15-AE15),0)</f>
        <v>0.00041975037926818466</v>
      </c>
      <c r="AJ15" s="75">
        <f t="shared" si="8"/>
        <v>1.5</v>
      </c>
      <c r="AK15" s="110"/>
      <c r="AL15" s="77">
        <f t="shared" si="9"/>
        <v>1.5</v>
      </c>
      <c r="AM15" s="78">
        <v>13570.8</v>
      </c>
      <c r="AN15" s="76">
        <v>14785.8</v>
      </c>
      <c r="AO15" s="107">
        <f t="shared" si="10"/>
        <v>0.9178265633242706</v>
      </c>
      <c r="AP15" s="80">
        <f t="shared" si="11"/>
        <v>1.5</v>
      </c>
      <c r="AQ15" s="110"/>
      <c r="AR15" s="111">
        <f t="shared" si="12"/>
        <v>1.5</v>
      </c>
      <c r="AS15" s="106">
        <f t="shared" si="16"/>
        <v>6</v>
      </c>
      <c r="AT15" s="102"/>
      <c r="AU15" s="83">
        <f t="shared" si="17"/>
        <v>0.8234638086670927</v>
      </c>
      <c r="AV15" s="7">
        <f t="shared" si="18"/>
        <v>0</v>
      </c>
      <c r="AW15" s="84">
        <f t="shared" si="19"/>
        <v>0</v>
      </c>
      <c r="AX15" s="84">
        <f t="shared" si="20"/>
        <v>0</v>
      </c>
      <c r="AY15" s="84">
        <f t="shared" si="21"/>
        <v>1</v>
      </c>
      <c r="AZ15" s="7">
        <f t="shared" si="22"/>
        <v>0</v>
      </c>
    </row>
    <row r="16" spans="1:52" s="9" customFormat="1" ht="12.75">
      <c r="A16" s="108" t="s">
        <v>71</v>
      </c>
      <c r="B16" s="62">
        <v>106963.2</v>
      </c>
      <c r="C16" s="62">
        <v>52680.59592</v>
      </c>
      <c r="D16" s="62">
        <v>94000</v>
      </c>
      <c r="E16" s="70">
        <f t="shared" si="13"/>
        <v>0.7292252893377801</v>
      </c>
      <c r="F16" s="64">
        <f>IF(E16&lt;=1.05,1,0)</f>
        <v>1</v>
      </c>
      <c r="G16" s="76"/>
      <c r="H16" s="77">
        <f t="shared" si="0"/>
        <v>1</v>
      </c>
      <c r="I16" s="62">
        <v>76929</v>
      </c>
      <c r="J16" s="68">
        <v>1096684.30847</v>
      </c>
      <c r="K16" s="69">
        <v>750867.38174</v>
      </c>
      <c r="L16" s="62">
        <v>168805.7218</v>
      </c>
      <c r="M16" s="62">
        <v>26929</v>
      </c>
      <c r="N16" s="70">
        <f t="shared" si="23"/>
        <v>0.282467994157617</v>
      </c>
      <c r="O16" s="64">
        <f t="shared" si="1"/>
        <v>1</v>
      </c>
      <c r="P16" s="76"/>
      <c r="Q16" s="77">
        <f t="shared" si="2"/>
        <v>1</v>
      </c>
      <c r="R16" s="105">
        <v>7061.3</v>
      </c>
      <c r="S16" s="62">
        <v>1110064.8475799998</v>
      </c>
      <c r="T16" s="69">
        <v>447876.57991000003</v>
      </c>
      <c r="U16" s="70">
        <f t="shared" si="3"/>
        <v>0.010663583673637338</v>
      </c>
      <c r="V16" s="64">
        <f t="shared" si="4"/>
        <v>1</v>
      </c>
      <c r="W16" s="76"/>
      <c r="X16" s="77">
        <f t="shared" si="14"/>
        <v>1</v>
      </c>
      <c r="Y16" s="62">
        <v>13380.53911</v>
      </c>
      <c r="Z16" s="72">
        <v>0</v>
      </c>
      <c r="AA16" s="72">
        <v>30451.539109999998</v>
      </c>
      <c r="AB16" s="72">
        <v>26929</v>
      </c>
      <c r="AC16" s="72">
        <f t="shared" si="5"/>
        <v>1096684.30847</v>
      </c>
      <c r="AD16" s="72">
        <f t="shared" si="5"/>
        <v>750867.38174</v>
      </c>
      <c r="AE16" s="72">
        <f t="shared" si="5"/>
        <v>168805.7218</v>
      </c>
      <c r="AF16" s="72">
        <f t="shared" si="15"/>
        <v>177011.20493000007</v>
      </c>
      <c r="AG16" s="72">
        <f t="shared" si="6"/>
        <v>17701.120493000006</v>
      </c>
      <c r="AH16" s="72">
        <f>IF(AA16&gt;0,AA16,0)+AG16+IF(AB16&gt;0,AB16,0)</f>
        <v>75081.65960300001</v>
      </c>
      <c r="AI16" s="109">
        <f>IF((Y16-IF(Z16&gt;0,Z16,0)-IF(AA16&gt;0,AA16,0)-IF(AB16&gt;0,AB16,0))/(AC16-AD16-AE16)&gt;0,(Y16-IF(Z16&gt;0,Z16,0)-IF(AA16&gt;0,AA16,0)-IF(AB16&gt;0,AB16,0))/(AC16-AD16-AE16),0)</f>
        <v>0</v>
      </c>
      <c r="AJ16" s="75">
        <f t="shared" si="8"/>
        <v>1.5</v>
      </c>
      <c r="AK16" s="76"/>
      <c r="AL16" s="77">
        <f t="shared" si="9"/>
        <v>1.5</v>
      </c>
      <c r="AM16" s="78">
        <v>38637.8</v>
      </c>
      <c r="AN16" s="76">
        <v>39346.5</v>
      </c>
      <c r="AO16" s="107">
        <f t="shared" si="10"/>
        <v>0.9819882327525956</v>
      </c>
      <c r="AP16" s="80">
        <f t="shared" si="11"/>
        <v>1.5</v>
      </c>
      <c r="AQ16" s="76"/>
      <c r="AR16" s="111">
        <f t="shared" si="12"/>
        <v>1.5</v>
      </c>
      <c r="AS16" s="106">
        <f t="shared" si="16"/>
        <v>6</v>
      </c>
      <c r="AU16" s="83">
        <f t="shared" si="17"/>
        <v>0.7271746356615256</v>
      </c>
      <c r="AV16" s="7">
        <f t="shared" si="18"/>
        <v>0</v>
      </c>
      <c r="AW16" s="84">
        <f t="shared" si="19"/>
        <v>0</v>
      </c>
      <c r="AX16" s="84">
        <f t="shared" si="20"/>
        <v>0</v>
      </c>
      <c r="AY16" s="84">
        <f t="shared" si="21"/>
        <v>1</v>
      </c>
      <c r="AZ16" s="7">
        <f t="shared" si="22"/>
        <v>0</v>
      </c>
    </row>
    <row r="17" spans="1:52" s="9" customFormat="1" ht="12.75">
      <c r="A17" s="85" t="s">
        <v>72</v>
      </c>
      <c r="B17" s="86">
        <v>0</v>
      </c>
      <c r="C17" s="86">
        <v>0</v>
      </c>
      <c r="D17" s="86">
        <v>0</v>
      </c>
      <c r="E17" s="87">
        <f t="shared" si="13"/>
        <v>0</v>
      </c>
      <c r="F17" s="88"/>
      <c r="G17" s="89">
        <f>IF(E17&lt;=1.05,1,0)</f>
        <v>1</v>
      </c>
      <c r="H17" s="90">
        <f t="shared" si="0"/>
        <v>1</v>
      </c>
      <c r="I17" s="86">
        <v>0</v>
      </c>
      <c r="J17" s="91">
        <v>366358.99393</v>
      </c>
      <c r="K17" s="92">
        <v>252053.37172999998</v>
      </c>
      <c r="L17" s="86">
        <v>62907.70508</v>
      </c>
      <c r="M17" s="86">
        <v>0</v>
      </c>
      <c r="N17" s="87">
        <f t="shared" si="23"/>
        <v>0</v>
      </c>
      <c r="O17" s="88"/>
      <c r="P17" s="89">
        <f>IF(N17&lt;=0.5,1,0)</f>
        <v>1</v>
      </c>
      <c r="Q17" s="90">
        <f>O17+P17</f>
        <v>1</v>
      </c>
      <c r="R17" s="93">
        <v>0</v>
      </c>
      <c r="S17" s="86">
        <v>364912.82609</v>
      </c>
      <c r="T17" s="92">
        <v>144963.03349</v>
      </c>
      <c r="U17" s="87">
        <f t="shared" si="3"/>
        <v>0</v>
      </c>
      <c r="V17" s="88"/>
      <c r="W17" s="89">
        <f aca="true" t="shared" si="25" ref="W17:W23">IF(U17&lt;=0.15,1,0)</f>
        <v>1</v>
      </c>
      <c r="X17" s="90">
        <f t="shared" si="14"/>
        <v>1</v>
      </c>
      <c r="Y17" s="86">
        <v>-1446.16784</v>
      </c>
      <c r="Z17" s="94">
        <v>0</v>
      </c>
      <c r="AA17" s="94">
        <v>-1446.16784</v>
      </c>
      <c r="AB17" s="94">
        <v>0</v>
      </c>
      <c r="AC17" s="94">
        <f t="shared" si="5"/>
        <v>366358.99393</v>
      </c>
      <c r="AD17" s="94">
        <f t="shared" si="5"/>
        <v>252053.37172999998</v>
      </c>
      <c r="AE17" s="94">
        <f t="shared" si="5"/>
        <v>62907.70508</v>
      </c>
      <c r="AF17" s="94">
        <f t="shared" si="15"/>
        <v>51397.91712000001</v>
      </c>
      <c r="AG17" s="94">
        <f t="shared" si="6"/>
        <v>5139.791712000002</v>
      </c>
      <c r="AH17" s="94">
        <f aca="true" t="shared" si="26" ref="AH17:AH42">IF(AA17&gt;0,AA17,0)+AG17+IF(AB17&gt;0,AB17,0)</f>
        <v>5139.791712000002</v>
      </c>
      <c r="AI17" s="95">
        <f t="shared" si="24"/>
        <v>0</v>
      </c>
      <c r="AJ17" s="96"/>
      <c r="AK17" s="97">
        <f aca="true" t="shared" si="27" ref="AK17:AK23">IF(AI17&lt;=0.055,1.5,0)</f>
        <v>1.5</v>
      </c>
      <c r="AL17" s="90">
        <f t="shared" si="9"/>
        <v>1.5</v>
      </c>
      <c r="AM17" s="98">
        <v>9949.4</v>
      </c>
      <c r="AN17" s="89">
        <v>10039.8</v>
      </c>
      <c r="AO17" s="99">
        <f t="shared" si="10"/>
        <v>0.9909958365704497</v>
      </c>
      <c r="AP17" s="96"/>
      <c r="AQ17" s="97">
        <f aca="true" t="shared" si="28" ref="AQ17:AQ23">IF(AO17&lt;=1.005,1.5,0)</f>
        <v>1.5</v>
      </c>
      <c r="AR17" s="100">
        <f t="shared" si="12"/>
        <v>1.5</v>
      </c>
      <c r="AS17" s="101">
        <f t="shared" si="16"/>
        <v>6</v>
      </c>
      <c r="AU17" s="83">
        <f t="shared" si="17"/>
        <v>0.7678461837431346</v>
      </c>
      <c r="AV17" s="7">
        <f t="shared" si="18"/>
        <v>0</v>
      </c>
      <c r="AW17" s="84">
        <f t="shared" si="19"/>
        <v>0</v>
      </c>
      <c r="AX17" s="84">
        <f t="shared" si="20"/>
        <v>0</v>
      </c>
      <c r="AY17" s="84">
        <f t="shared" si="21"/>
        <v>1</v>
      </c>
      <c r="AZ17" s="7">
        <f t="shared" si="22"/>
        <v>0</v>
      </c>
    </row>
    <row r="18" spans="1:52" s="9" customFormat="1" ht="12.75">
      <c r="A18" s="85" t="s">
        <v>73</v>
      </c>
      <c r="B18" s="86">
        <v>0</v>
      </c>
      <c r="C18" s="86">
        <v>0</v>
      </c>
      <c r="D18" s="86">
        <v>0</v>
      </c>
      <c r="E18" s="87">
        <f t="shared" si="13"/>
        <v>0</v>
      </c>
      <c r="F18" s="88"/>
      <c r="G18" s="89">
        <f aca="true" t="shared" si="29" ref="G18:G23">IF(E18&lt;=1.05,1,0)</f>
        <v>1</v>
      </c>
      <c r="H18" s="90">
        <f t="shared" si="0"/>
        <v>1</v>
      </c>
      <c r="I18" s="86">
        <v>0</v>
      </c>
      <c r="J18" s="91">
        <v>200504.87839</v>
      </c>
      <c r="K18" s="92">
        <v>171923.77896</v>
      </c>
      <c r="L18" s="86">
        <v>15604.311</v>
      </c>
      <c r="M18" s="86">
        <v>0</v>
      </c>
      <c r="N18" s="87">
        <f t="shared" si="23"/>
        <v>0</v>
      </c>
      <c r="O18" s="88"/>
      <c r="P18" s="89">
        <f aca="true" t="shared" si="30" ref="P18:P23">IF(N18&lt;=0.5,1,0)</f>
        <v>1</v>
      </c>
      <c r="Q18" s="90">
        <f t="shared" si="2"/>
        <v>1</v>
      </c>
      <c r="R18" s="93">
        <v>0</v>
      </c>
      <c r="S18" s="86">
        <v>195629.90454</v>
      </c>
      <c r="T18" s="92">
        <v>107045.87696</v>
      </c>
      <c r="U18" s="87">
        <f t="shared" si="3"/>
        <v>0</v>
      </c>
      <c r="V18" s="88"/>
      <c r="W18" s="89">
        <f t="shared" si="25"/>
        <v>1</v>
      </c>
      <c r="X18" s="90">
        <f t="shared" si="14"/>
        <v>1</v>
      </c>
      <c r="Y18" s="86">
        <v>-4874.973849999999</v>
      </c>
      <c r="Z18" s="94">
        <v>0</v>
      </c>
      <c r="AA18" s="94">
        <v>-4874.973849999999</v>
      </c>
      <c r="AB18" s="94">
        <v>0</v>
      </c>
      <c r="AC18" s="94">
        <f t="shared" si="5"/>
        <v>200504.87839</v>
      </c>
      <c r="AD18" s="94">
        <f t="shared" si="5"/>
        <v>171923.77896</v>
      </c>
      <c r="AE18" s="94">
        <f t="shared" si="5"/>
        <v>15604.311</v>
      </c>
      <c r="AF18" s="94">
        <f t="shared" si="15"/>
        <v>12976.788430000002</v>
      </c>
      <c r="AG18" s="94">
        <f>AF18*5%</f>
        <v>648.8394215000002</v>
      </c>
      <c r="AH18" s="94">
        <f t="shared" si="26"/>
        <v>648.8394215000002</v>
      </c>
      <c r="AI18" s="95">
        <f t="shared" si="24"/>
        <v>0</v>
      </c>
      <c r="AJ18" s="88"/>
      <c r="AK18" s="97">
        <f t="shared" si="27"/>
        <v>1.5</v>
      </c>
      <c r="AL18" s="90">
        <f t="shared" si="9"/>
        <v>1.5</v>
      </c>
      <c r="AM18" s="98">
        <v>6293.2</v>
      </c>
      <c r="AN18" s="89">
        <v>6828.9</v>
      </c>
      <c r="AO18" s="99">
        <f t="shared" si="10"/>
        <v>0.9215539838041266</v>
      </c>
      <c r="AP18" s="88"/>
      <c r="AQ18" s="97">
        <f t="shared" si="28"/>
        <v>1.5</v>
      </c>
      <c r="AR18" s="100">
        <f t="shared" si="12"/>
        <v>1.5</v>
      </c>
      <c r="AS18" s="101">
        <f t="shared" si="16"/>
        <v>6</v>
      </c>
      <c r="AU18" s="83">
        <f t="shared" si="17"/>
        <v>0.8611499349292799</v>
      </c>
      <c r="AV18" s="7">
        <f t="shared" si="18"/>
        <v>0</v>
      </c>
      <c r="AW18" s="84">
        <f t="shared" si="19"/>
        <v>0</v>
      </c>
      <c r="AX18" s="84">
        <f t="shared" si="20"/>
        <v>0</v>
      </c>
      <c r="AY18" s="84">
        <f t="shared" si="21"/>
        <v>1</v>
      </c>
      <c r="AZ18" s="7">
        <f t="shared" si="22"/>
        <v>0</v>
      </c>
    </row>
    <row r="19" spans="1:52" s="9" customFormat="1" ht="12.75">
      <c r="A19" s="85" t="s">
        <v>74</v>
      </c>
      <c r="B19" s="86">
        <v>0</v>
      </c>
      <c r="C19" s="86">
        <v>3149.1937799999996</v>
      </c>
      <c r="D19" s="86">
        <v>0</v>
      </c>
      <c r="E19" s="87">
        <f t="shared" si="13"/>
        <v>0</v>
      </c>
      <c r="F19" s="88"/>
      <c r="G19" s="89">
        <f t="shared" si="29"/>
        <v>1</v>
      </c>
      <c r="H19" s="90">
        <f t="shared" si="0"/>
        <v>1</v>
      </c>
      <c r="I19" s="86">
        <v>0</v>
      </c>
      <c r="J19" s="91">
        <v>266622.74189</v>
      </c>
      <c r="K19" s="92">
        <v>196831.98329</v>
      </c>
      <c r="L19" s="86">
        <v>39883.32832</v>
      </c>
      <c r="M19" s="86">
        <v>0</v>
      </c>
      <c r="N19" s="87">
        <f t="shared" si="23"/>
        <v>0</v>
      </c>
      <c r="O19" s="88"/>
      <c r="P19" s="89">
        <f t="shared" si="30"/>
        <v>1</v>
      </c>
      <c r="Q19" s="90">
        <f t="shared" si="2"/>
        <v>1</v>
      </c>
      <c r="R19" s="93">
        <v>0</v>
      </c>
      <c r="S19" s="86">
        <v>267817.9319</v>
      </c>
      <c r="T19" s="92">
        <v>131212.85959</v>
      </c>
      <c r="U19" s="87">
        <f t="shared" si="3"/>
        <v>0</v>
      </c>
      <c r="V19" s="88"/>
      <c r="W19" s="89">
        <f t="shared" si="25"/>
        <v>1</v>
      </c>
      <c r="X19" s="90">
        <f t="shared" si="14"/>
        <v>1</v>
      </c>
      <c r="Y19" s="86">
        <v>1195.19001</v>
      </c>
      <c r="Z19" s="94">
        <v>0</v>
      </c>
      <c r="AA19" s="94">
        <v>1195.19001</v>
      </c>
      <c r="AB19" s="94">
        <v>0</v>
      </c>
      <c r="AC19" s="94">
        <f t="shared" si="5"/>
        <v>266622.74189</v>
      </c>
      <c r="AD19" s="94">
        <f t="shared" si="5"/>
        <v>196831.98329</v>
      </c>
      <c r="AE19" s="94">
        <f t="shared" si="5"/>
        <v>39883.32832</v>
      </c>
      <c r="AF19" s="94">
        <f t="shared" si="15"/>
        <v>29907.43028</v>
      </c>
      <c r="AG19" s="94">
        <f>AF19*10%</f>
        <v>2990.7430280000003</v>
      </c>
      <c r="AH19" s="94">
        <f t="shared" si="26"/>
        <v>4185.933038</v>
      </c>
      <c r="AI19" s="95">
        <f t="shared" si="24"/>
        <v>0</v>
      </c>
      <c r="AJ19" s="96"/>
      <c r="AK19" s="97">
        <f t="shared" si="27"/>
        <v>1.5</v>
      </c>
      <c r="AL19" s="90">
        <f t="shared" si="9"/>
        <v>1.5</v>
      </c>
      <c r="AM19" s="98">
        <v>10721</v>
      </c>
      <c r="AN19" s="89">
        <v>10908.8</v>
      </c>
      <c r="AO19" s="99">
        <f t="shared" si="10"/>
        <v>0.9827845409210912</v>
      </c>
      <c r="AP19" s="96"/>
      <c r="AQ19" s="97">
        <f t="shared" si="28"/>
        <v>1.5</v>
      </c>
      <c r="AR19" s="100">
        <f t="shared" si="12"/>
        <v>1.5</v>
      </c>
      <c r="AS19" s="101">
        <f t="shared" si="16"/>
        <v>6</v>
      </c>
      <c r="AT19" s="102"/>
      <c r="AU19" s="83">
        <f t="shared" si="17"/>
        <v>0.7791340648702417</v>
      </c>
      <c r="AV19" s="7">
        <f t="shared" si="18"/>
        <v>0</v>
      </c>
      <c r="AW19" s="84">
        <f t="shared" si="19"/>
        <v>0</v>
      </c>
      <c r="AX19" s="84">
        <f t="shared" si="20"/>
        <v>0</v>
      </c>
      <c r="AY19" s="84">
        <f t="shared" si="21"/>
        <v>1</v>
      </c>
      <c r="AZ19" s="7">
        <f t="shared" si="22"/>
        <v>0</v>
      </c>
    </row>
    <row r="20" spans="1:52" s="9" customFormat="1" ht="12.75">
      <c r="A20" s="85" t="s">
        <v>75</v>
      </c>
      <c r="B20" s="86">
        <v>0</v>
      </c>
      <c r="C20" s="86">
        <v>1506.3</v>
      </c>
      <c r="D20" s="86">
        <v>0</v>
      </c>
      <c r="E20" s="87">
        <f t="shared" si="13"/>
        <v>0</v>
      </c>
      <c r="F20" s="88"/>
      <c r="G20" s="89">
        <f t="shared" si="29"/>
        <v>1</v>
      </c>
      <c r="H20" s="90">
        <f t="shared" si="0"/>
        <v>1</v>
      </c>
      <c r="I20" s="86">
        <v>0</v>
      </c>
      <c r="J20" s="91">
        <v>131633.8975</v>
      </c>
      <c r="K20" s="92">
        <v>94369.69537</v>
      </c>
      <c r="L20" s="86">
        <v>22794.24866</v>
      </c>
      <c r="M20" s="86">
        <v>0</v>
      </c>
      <c r="N20" s="87">
        <f t="shared" si="23"/>
        <v>0</v>
      </c>
      <c r="O20" s="88"/>
      <c r="P20" s="89">
        <f t="shared" si="30"/>
        <v>1</v>
      </c>
      <c r="Q20" s="90">
        <f t="shared" si="2"/>
        <v>1</v>
      </c>
      <c r="R20" s="93">
        <v>0</v>
      </c>
      <c r="S20" s="86">
        <v>129829.67027</v>
      </c>
      <c r="T20" s="92">
        <v>66690.98286999999</v>
      </c>
      <c r="U20" s="87">
        <f t="shared" si="3"/>
        <v>0</v>
      </c>
      <c r="V20" s="88"/>
      <c r="W20" s="89">
        <f t="shared" si="25"/>
        <v>1</v>
      </c>
      <c r="X20" s="90">
        <f t="shared" si="14"/>
        <v>1</v>
      </c>
      <c r="Y20" s="86">
        <v>-1804.22723</v>
      </c>
      <c r="Z20" s="94">
        <v>0</v>
      </c>
      <c r="AA20" s="94">
        <v>-1804.22723</v>
      </c>
      <c r="AB20" s="94">
        <v>0</v>
      </c>
      <c r="AC20" s="94">
        <f t="shared" si="5"/>
        <v>131633.8975</v>
      </c>
      <c r="AD20" s="94">
        <f t="shared" si="5"/>
        <v>94369.69537</v>
      </c>
      <c r="AE20" s="94">
        <f t="shared" si="5"/>
        <v>22794.24866</v>
      </c>
      <c r="AF20" s="94">
        <f t="shared" si="15"/>
        <v>14469.95346999999</v>
      </c>
      <c r="AG20" s="94">
        <f>AF20*5%</f>
        <v>723.4976734999996</v>
      </c>
      <c r="AH20" s="94">
        <f t="shared" si="26"/>
        <v>723.4976734999996</v>
      </c>
      <c r="AI20" s="95">
        <f t="shared" si="24"/>
        <v>0</v>
      </c>
      <c r="AJ20" s="88"/>
      <c r="AK20" s="97">
        <f t="shared" si="27"/>
        <v>1.5</v>
      </c>
      <c r="AL20" s="90">
        <f t="shared" si="9"/>
        <v>1.5</v>
      </c>
      <c r="AM20" s="98">
        <v>6933</v>
      </c>
      <c r="AN20" s="89">
        <v>8229.4</v>
      </c>
      <c r="AO20" s="99">
        <f t="shared" si="10"/>
        <v>0.8424672515614747</v>
      </c>
      <c r="AP20" s="88"/>
      <c r="AQ20" s="97">
        <f t="shared" si="28"/>
        <v>1.5</v>
      </c>
      <c r="AR20" s="100">
        <f t="shared" si="12"/>
        <v>1.5</v>
      </c>
      <c r="AS20" s="101">
        <f t="shared" si="16"/>
        <v>6</v>
      </c>
      <c r="AU20" s="83">
        <f t="shared" si="17"/>
        <v>0.7771896510583206</v>
      </c>
      <c r="AV20" s="7">
        <f t="shared" si="18"/>
        <v>0</v>
      </c>
      <c r="AW20" s="84">
        <f t="shared" si="19"/>
        <v>0</v>
      </c>
      <c r="AX20" s="84">
        <f t="shared" si="20"/>
        <v>0</v>
      </c>
      <c r="AY20" s="84">
        <f t="shared" si="21"/>
        <v>1</v>
      </c>
      <c r="AZ20" s="7">
        <f t="shared" si="22"/>
        <v>0</v>
      </c>
    </row>
    <row r="21" spans="1:52" s="9" customFormat="1" ht="12.75">
      <c r="A21" s="85" t="s">
        <v>76</v>
      </c>
      <c r="B21" s="86">
        <v>534</v>
      </c>
      <c r="C21" s="86">
        <v>19745.74786</v>
      </c>
      <c r="D21" s="86">
        <v>0</v>
      </c>
      <c r="E21" s="87">
        <f t="shared" si="13"/>
        <v>0.027043797165148244</v>
      </c>
      <c r="F21" s="88"/>
      <c r="G21" s="89">
        <f t="shared" si="29"/>
        <v>1</v>
      </c>
      <c r="H21" s="90">
        <f t="shared" si="0"/>
        <v>1</v>
      </c>
      <c r="I21" s="86">
        <v>0</v>
      </c>
      <c r="J21" s="91">
        <v>401367.63666</v>
      </c>
      <c r="K21" s="92">
        <v>282592.76613999996</v>
      </c>
      <c r="L21" s="86">
        <v>68905.37952</v>
      </c>
      <c r="M21" s="86">
        <v>0</v>
      </c>
      <c r="N21" s="87">
        <f t="shared" si="23"/>
        <v>0</v>
      </c>
      <c r="O21" s="88"/>
      <c r="P21" s="89">
        <f t="shared" si="30"/>
        <v>1</v>
      </c>
      <c r="Q21" s="90">
        <f t="shared" si="2"/>
        <v>1</v>
      </c>
      <c r="R21" s="93">
        <v>0</v>
      </c>
      <c r="S21" s="86">
        <v>403514.99841</v>
      </c>
      <c r="T21" s="92">
        <v>218829.12375</v>
      </c>
      <c r="U21" s="87">
        <f t="shared" si="3"/>
        <v>0</v>
      </c>
      <c r="V21" s="88"/>
      <c r="W21" s="89">
        <f t="shared" si="25"/>
        <v>1</v>
      </c>
      <c r="X21" s="90">
        <f t="shared" si="14"/>
        <v>1</v>
      </c>
      <c r="Y21" s="86">
        <v>2147.36175</v>
      </c>
      <c r="Z21" s="94">
        <v>17220</v>
      </c>
      <c r="AA21" s="94">
        <v>-15072.63825</v>
      </c>
      <c r="AB21" s="94">
        <v>0</v>
      </c>
      <c r="AC21" s="94">
        <f t="shared" si="5"/>
        <v>401367.63666</v>
      </c>
      <c r="AD21" s="94">
        <f t="shared" si="5"/>
        <v>282592.76613999996</v>
      </c>
      <c r="AE21" s="94">
        <f t="shared" si="5"/>
        <v>68905.37952</v>
      </c>
      <c r="AF21" s="94">
        <f t="shared" si="15"/>
        <v>49869.49100000005</v>
      </c>
      <c r="AG21" s="94">
        <f>AF21*10%</f>
        <v>4986.949100000005</v>
      </c>
      <c r="AH21" s="94">
        <f t="shared" si="26"/>
        <v>4986.949100000005</v>
      </c>
      <c r="AI21" s="95">
        <f t="shared" si="24"/>
        <v>0</v>
      </c>
      <c r="AJ21" s="96"/>
      <c r="AK21" s="97">
        <f t="shared" si="27"/>
        <v>1.5</v>
      </c>
      <c r="AL21" s="90">
        <f t="shared" si="9"/>
        <v>1.5</v>
      </c>
      <c r="AM21" s="98">
        <v>16193.8</v>
      </c>
      <c r="AN21" s="89">
        <v>18679.4</v>
      </c>
      <c r="AO21" s="99">
        <f t="shared" si="10"/>
        <v>0.8669336274184395</v>
      </c>
      <c r="AP21" s="96"/>
      <c r="AQ21" s="97">
        <f t="shared" si="28"/>
        <v>1.5</v>
      </c>
      <c r="AR21" s="100">
        <f t="shared" si="12"/>
        <v>1.5</v>
      </c>
      <c r="AS21" s="101">
        <f t="shared" si="16"/>
        <v>6</v>
      </c>
      <c r="AT21" s="102"/>
      <c r="AU21" s="83">
        <f t="shared" si="17"/>
        <v>0.7268001683316659</v>
      </c>
      <c r="AV21" s="7">
        <f t="shared" si="18"/>
        <v>0</v>
      </c>
      <c r="AW21" s="84">
        <f t="shared" si="19"/>
        <v>0</v>
      </c>
      <c r="AX21" s="84">
        <f t="shared" si="20"/>
        <v>0</v>
      </c>
      <c r="AY21" s="84">
        <f t="shared" si="21"/>
        <v>1</v>
      </c>
      <c r="AZ21" s="7">
        <f t="shared" si="22"/>
        <v>0</v>
      </c>
    </row>
    <row r="22" spans="1:52" s="9" customFormat="1" ht="12.75">
      <c r="A22" s="85" t="s">
        <v>77</v>
      </c>
      <c r="B22" s="86">
        <v>0</v>
      </c>
      <c r="C22" s="86">
        <v>1864.266</v>
      </c>
      <c r="D22" s="86">
        <v>0</v>
      </c>
      <c r="E22" s="87">
        <f t="shared" si="13"/>
        <v>0</v>
      </c>
      <c r="F22" s="88"/>
      <c r="G22" s="89">
        <f t="shared" si="29"/>
        <v>1</v>
      </c>
      <c r="H22" s="90">
        <f t="shared" si="0"/>
        <v>1</v>
      </c>
      <c r="I22" s="86">
        <v>0</v>
      </c>
      <c r="J22" s="91">
        <v>198641.0505</v>
      </c>
      <c r="K22" s="92">
        <v>158740.02118</v>
      </c>
      <c r="L22" s="86">
        <v>27168.85172</v>
      </c>
      <c r="M22" s="86">
        <v>0</v>
      </c>
      <c r="N22" s="87">
        <f t="shared" si="23"/>
        <v>0</v>
      </c>
      <c r="O22" s="88"/>
      <c r="P22" s="89">
        <f t="shared" si="30"/>
        <v>1</v>
      </c>
      <c r="Q22" s="90">
        <f t="shared" si="2"/>
        <v>1</v>
      </c>
      <c r="R22" s="93">
        <v>0</v>
      </c>
      <c r="S22" s="86">
        <v>198983.50021</v>
      </c>
      <c r="T22" s="92">
        <v>97856.71393000001</v>
      </c>
      <c r="U22" s="87">
        <f t="shared" si="3"/>
        <v>0</v>
      </c>
      <c r="V22" s="88"/>
      <c r="W22" s="89">
        <f t="shared" si="25"/>
        <v>1</v>
      </c>
      <c r="X22" s="90">
        <f t="shared" si="14"/>
        <v>1</v>
      </c>
      <c r="Y22" s="86">
        <v>342.44971000000004</v>
      </c>
      <c r="Z22" s="94">
        <v>0</v>
      </c>
      <c r="AA22" s="94">
        <v>342.44971000000004</v>
      </c>
      <c r="AB22" s="94">
        <v>0</v>
      </c>
      <c r="AC22" s="94">
        <f t="shared" si="5"/>
        <v>198641.0505</v>
      </c>
      <c r="AD22" s="94">
        <f t="shared" si="5"/>
        <v>158740.02118</v>
      </c>
      <c r="AE22" s="94">
        <f t="shared" si="5"/>
        <v>27168.85172</v>
      </c>
      <c r="AF22" s="94">
        <f t="shared" si="15"/>
        <v>12732.177600000003</v>
      </c>
      <c r="AG22" s="94">
        <f>AF22*5%</f>
        <v>636.6088800000002</v>
      </c>
      <c r="AH22" s="94">
        <f t="shared" si="26"/>
        <v>979.0585900000003</v>
      </c>
      <c r="AI22" s="95">
        <f t="shared" si="24"/>
        <v>0</v>
      </c>
      <c r="AJ22" s="88"/>
      <c r="AK22" s="97">
        <f t="shared" si="27"/>
        <v>1.5</v>
      </c>
      <c r="AL22" s="90">
        <f t="shared" si="9"/>
        <v>1.5</v>
      </c>
      <c r="AM22" s="98">
        <v>10530.4</v>
      </c>
      <c r="AN22" s="89">
        <v>10755.5</v>
      </c>
      <c r="AO22" s="99">
        <f t="shared" si="10"/>
        <v>0.9790711728882897</v>
      </c>
      <c r="AP22" s="88"/>
      <c r="AQ22" s="97">
        <f t="shared" si="28"/>
        <v>1.5</v>
      </c>
      <c r="AR22" s="100">
        <f t="shared" si="12"/>
        <v>1.5</v>
      </c>
      <c r="AS22" s="101">
        <f t="shared" si="16"/>
        <v>6</v>
      </c>
      <c r="AU22" s="83">
        <f t="shared" si="17"/>
        <v>0.8736690835767239</v>
      </c>
      <c r="AV22" s="7">
        <f t="shared" si="18"/>
        <v>0</v>
      </c>
      <c r="AW22" s="84">
        <f t="shared" si="19"/>
        <v>0</v>
      </c>
      <c r="AX22" s="84">
        <f t="shared" si="20"/>
        <v>0</v>
      </c>
      <c r="AY22" s="84">
        <f t="shared" si="21"/>
        <v>1</v>
      </c>
      <c r="AZ22" s="7">
        <f t="shared" si="22"/>
        <v>0</v>
      </c>
    </row>
    <row r="23" spans="1:52" s="9" customFormat="1" ht="12.75">
      <c r="A23" s="85" t="s">
        <v>78</v>
      </c>
      <c r="B23" s="86">
        <v>0</v>
      </c>
      <c r="C23" s="86">
        <v>6221.363480000001</v>
      </c>
      <c r="D23" s="86">
        <v>0</v>
      </c>
      <c r="E23" s="87">
        <f t="shared" si="13"/>
        <v>0</v>
      </c>
      <c r="F23" s="88"/>
      <c r="G23" s="89">
        <f t="shared" si="29"/>
        <v>1</v>
      </c>
      <c r="H23" s="90">
        <f t="shared" si="0"/>
        <v>1</v>
      </c>
      <c r="I23" s="86">
        <v>0</v>
      </c>
      <c r="J23" s="91">
        <v>400504.52068</v>
      </c>
      <c r="K23" s="92">
        <v>268456.46523000003</v>
      </c>
      <c r="L23" s="86">
        <v>85493.44944</v>
      </c>
      <c r="M23" s="86">
        <v>0</v>
      </c>
      <c r="N23" s="87">
        <f t="shared" si="23"/>
        <v>0</v>
      </c>
      <c r="O23" s="88"/>
      <c r="P23" s="89">
        <f t="shared" si="30"/>
        <v>1</v>
      </c>
      <c r="Q23" s="90">
        <f t="shared" si="2"/>
        <v>1</v>
      </c>
      <c r="R23" s="93">
        <v>0</v>
      </c>
      <c r="S23" s="86">
        <v>402215.26028</v>
      </c>
      <c r="T23" s="92">
        <v>192864.10129</v>
      </c>
      <c r="U23" s="87">
        <f t="shared" si="3"/>
        <v>0</v>
      </c>
      <c r="V23" s="88"/>
      <c r="W23" s="89">
        <f t="shared" si="25"/>
        <v>1</v>
      </c>
      <c r="X23" s="90">
        <f t="shared" si="14"/>
        <v>1</v>
      </c>
      <c r="Y23" s="86">
        <v>1710.7396</v>
      </c>
      <c r="Z23" s="94">
        <v>0</v>
      </c>
      <c r="AA23" s="94">
        <v>1710.7396</v>
      </c>
      <c r="AB23" s="94">
        <v>0</v>
      </c>
      <c r="AC23" s="94">
        <f t="shared" si="5"/>
        <v>400504.52068</v>
      </c>
      <c r="AD23" s="94">
        <f t="shared" si="5"/>
        <v>268456.46523000003</v>
      </c>
      <c r="AE23" s="94">
        <f t="shared" si="5"/>
        <v>85493.44944</v>
      </c>
      <c r="AF23" s="94">
        <f t="shared" si="15"/>
        <v>46554.60600999999</v>
      </c>
      <c r="AG23" s="94">
        <f>AF23*10%</f>
        <v>4655.460600999999</v>
      </c>
      <c r="AH23" s="94">
        <f t="shared" si="26"/>
        <v>6366.200200999999</v>
      </c>
      <c r="AI23" s="95">
        <f t="shared" si="24"/>
        <v>0</v>
      </c>
      <c r="AJ23" s="96"/>
      <c r="AK23" s="97">
        <f t="shared" si="27"/>
        <v>1.5</v>
      </c>
      <c r="AL23" s="90">
        <f t="shared" si="9"/>
        <v>1.5</v>
      </c>
      <c r="AM23" s="98">
        <v>17452.3</v>
      </c>
      <c r="AN23" s="89">
        <v>18554.8</v>
      </c>
      <c r="AO23" s="99">
        <f t="shared" si="10"/>
        <v>0.9405814128958544</v>
      </c>
      <c r="AP23" s="96"/>
      <c r="AQ23" s="97">
        <f t="shared" si="28"/>
        <v>1.5</v>
      </c>
      <c r="AR23" s="100">
        <f t="shared" si="12"/>
        <v>1.5</v>
      </c>
      <c r="AS23" s="101">
        <f t="shared" si="16"/>
        <v>6</v>
      </c>
      <c r="AT23" s="102"/>
      <c r="AU23" s="83">
        <f t="shared" si="17"/>
        <v>0.7757921788697656</v>
      </c>
      <c r="AV23" s="7">
        <f t="shared" si="18"/>
        <v>0</v>
      </c>
      <c r="AW23" s="84">
        <f t="shared" si="19"/>
        <v>0</v>
      </c>
      <c r="AX23" s="84">
        <f t="shared" si="20"/>
        <v>0</v>
      </c>
      <c r="AY23" s="84">
        <f t="shared" si="21"/>
        <v>1</v>
      </c>
      <c r="AZ23" s="7">
        <f t="shared" si="22"/>
        <v>0</v>
      </c>
    </row>
    <row r="24" spans="1:52" s="9" customFormat="1" ht="12.75">
      <c r="A24" s="108" t="s">
        <v>79</v>
      </c>
      <c r="B24" s="62">
        <v>0</v>
      </c>
      <c r="C24" s="62">
        <v>365.07675</v>
      </c>
      <c r="D24" s="62">
        <v>0</v>
      </c>
      <c r="E24" s="70">
        <f t="shared" si="13"/>
        <v>0</v>
      </c>
      <c r="F24" s="64">
        <f>IF(E24&lt;=1.05,1,0)</f>
        <v>1</v>
      </c>
      <c r="G24" s="76"/>
      <c r="H24" s="77">
        <f t="shared" si="0"/>
        <v>1</v>
      </c>
      <c r="I24" s="62">
        <v>0</v>
      </c>
      <c r="J24" s="68">
        <v>241426.41212999998</v>
      </c>
      <c r="K24" s="69">
        <v>186990.67629</v>
      </c>
      <c r="L24" s="62">
        <v>34764.86103</v>
      </c>
      <c r="M24" s="62">
        <v>0</v>
      </c>
      <c r="N24" s="70">
        <f t="shared" si="23"/>
        <v>0</v>
      </c>
      <c r="O24" s="64">
        <f>IF(N24&lt;=1,1,0)</f>
        <v>1</v>
      </c>
      <c r="P24" s="76"/>
      <c r="Q24" s="77">
        <f t="shared" si="2"/>
        <v>1</v>
      </c>
      <c r="R24" s="105">
        <v>0</v>
      </c>
      <c r="S24" s="62">
        <v>236866.18429</v>
      </c>
      <c r="T24" s="69">
        <v>122677.81504</v>
      </c>
      <c r="U24" s="70">
        <f t="shared" si="3"/>
        <v>0</v>
      </c>
      <c r="V24" s="64">
        <f>IF(U24&lt;=0.15,1,0)</f>
        <v>1</v>
      </c>
      <c r="W24" s="76"/>
      <c r="X24" s="77">
        <f t="shared" si="14"/>
        <v>1</v>
      </c>
      <c r="Y24" s="62">
        <v>-4560.22784</v>
      </c>
      <c r="Z24" s="72">
        <v>0</v>
      </c>
      <c r="AA24" s="72">
        <v>-4560.22784</v>
      </c>
      <c r="AB24" s="72">
        <v>0</v>
      </c>
      <c r="AC24" s="72">
        <f t="shared" si="5"/>
        <v>241426.41212999998</v>
      </c>
      <c r="AD24" s="72">
        <f t="shared" si="5"/>
        <v>186990.67629</v>
      </c>
      <c r="AE24" s="72">
        <f t="shared" si="5"/>
        <v>34764.86103</v>
      </c>
      <c r="AF24" s="72">
        <f t="shared" si="15"/>
        <v>19670.87480999998</v>
      </c>
      <c r="AG24" s="72">
        <f aca="true" t="shared" si="31" ref="AG24:AG32">AF24*5%</f>
        <v>983.543740499999</v>
      </c>
      <c r="AH24" s="72">
        <f t="shared" si="26"/>
        <v>983.543740499999</v>
      </c>
      <c r="AI24" s="109">
        <f t="shared" si="24"/>
        <v>0</v>
      </c>
      <c r="AJ24" s="75">
        <f t="shared" si="8"/>
        <v>1.5</v>
      </c>
      <c r="AK24" s="110"/>
      <c r="AL24" s="77">
        <f t="shared" si="9"/>
        <v>1.5</v>
      </c>
      <c r="AM24" s="78">
        <v>9980.9</v>
      </c>
      <c r="AN24" s="76">
        <v>10902.3</v>
      </c>
      <c r="AO24" s="107">
        <f t="shared" si="10"/>
        <v>0.9154857231960228</v>
      </c>
      <c r="AP24" s="80">
        <f>IF(AO24&lt;=1.005,1.5,0)</f>
        <v>1.5</v>
      </c>
      <c r="AQ24" s="110"/>
      <c r="AR24" s="111">
        <f t="shared" si="12"/>
        <v>1.5</v>
      </c>
      <c r="AS24" s="106">
        <f t="shared" si="16"/>
        <v>6</v>
      </c>
      <c r="AT24" s="102"/>
      <c r="AU24" s="83">
        <f t="shared" si="17"/>
        <v>0.8343485709132938</v>
      </c>
      <c r="AV24" s="7">
        <f t="shared" si="18"/>
        <v>0</v>
      </c>
      <c r="AW24" s="84">
        <f t="shared" si="19"/>
        <v>0</v>
      </c>
      <c r="AX24" s="84">
        <f t="shared" si="20"/>
        <v>0</v>
      </c>
      <c r="AY24" s="84">
        <f t="shared" si="21"/>
        <v>1</v>
      </c>
      <c r="AZ24" s="7">
        <f t="shared" si="22"/>
        <v>0</v>
      </c>
    </row>
    <row r="25" spans="1:52" s="9" customFormat="1" ht="12.75">
      <c r="A25" s="85" t="s">
        <v>80</v>
      </c>
      <c r="B25" s="86">
        <v>5000</v>
      </c>
      <c r="C25" s="86">
        <v>730.4257</v>
      </c>
      <c r="D25" s="86">
        <v>6774.564</v>
      </c>
      <c r="E25" s="87">
        <f t="shared" si="13"/>
        <v>0.6662234326584086</v>
      </c>
      <c r="F25" s="88"/>
      <c r="G25" s="89">
        <f aca="true" t="shared" si="32" ref="G25:G39">IF(E25&lt;=1.05,1,0)</f>
        <v>1</v>
      </c>
      <c r="H25" s="90">
        <f t="shared" si="0"/>
        <v>1</v>
      </c>
      <c r="I25" s="86">
        <v>403.2</v>
      </c>
      <c r="J25" s="91">
        <v>422885.69279</v>
      </c>
      <c r="K25" s="92">
        <v>307927.45938</v>
      </c>
      <c r="L25" s="86">
        <v>74468.26592</v>
      </c>
      <c r="M25" s="86">
        <v>0</v>
      </c>
      <c r="N25" s="87">
        <f t="shared" si="23"/>
        <v>0.009958022319963096</v>
      </c>
      <c r="O25" s="88"/>
      <c r="P25" s="89">
        <f>IF(N25&lt;=0.5,1,0)</f>
        <v>1</v>
      </c>
      <c r="Q25" s="90">
        <f>O25+P25</f>
        <v>1</v>
      </c>
      <c r="R25" s="93">
        <v>156.1</v>
      </c>
      <c r="S25" s="86">
        <v>422380.15905</v>
      </c>
      <c r="T25" s="92">
        <v>231952.37999000002</v>
      </c>
      <c r="U25" s="87">
        <f t="shared" si="3"/>
        <v>0.0008197333433732691</v>
      </c>
      <c r="V25" s="88"/>
      <c r="W25" s="89">
        <f aca="true" t="shared" si="33" ref="W25:W38">IF(U25&lt;=0.15,1,0)</f>
        <v>1</v>
      </c>
      <c r="X25" s="90">
        <f t="shared" si="14"/>
        <v>1</v>
      </c>
      <c r="Y25" s="86">
        <v>-505.53373999999997</v>
      </c>
      <c r="Z25" s="94">
        <v>0</v>
      </c>
      <c r="AA25" s="94">
        <v>1269.03026</v>
      </c>
      <c r="AB25" s="94">
        <v>0</v>
      </c>
      <c r="AC25" s="94">
        <f t="shared" si="5"/>
        <v>422885.69279</v>
      </c>
      <c r="AD25" s="94">
        <f t="shared" si="5"/>
        <v>307927.45938</v>
      </c>
      <c r="AE25" s="94">
        <f t="shared" si="5"/>
        <v>74468.26592</v>
      </c>
      <c r="AF25" s="94">
        <f t="shared" si="15"/>
        <v>40489.96748999998</v>
      </c>
      <c r="AG25" s="94">
        <f>AF25*10%</f>
        <v>4048.996748999998</v>
      </c>
      <c r="AH25" s="94">
        <f t="shared" si="26"/>
        <v>5318.027008999998</v>
      </c>
      <c r="AI25" s="95">
        <f t="shared" si="24"/>
        <v>0</v>
      </c>
      <c r="AJ25" s="96"/>
      <c r="AK25" s="97">
        <f aca="true" t="shared" si="34" ref="AK25:AK32">IF(AI25&lt;=0.055,1.5,0)</f>
        <v>1.5</v>
      </c>
      <c r="AL25" s="90">
        <f t="shared" si="9"/>
        <v>1.5</v>
      </c>
      <c r="AM25" s="98">
        <v>13813.4</v>
      </c>
      <c r="AN25" s="89">
        <v>16197.7</v>
      </c>
      <c r="AO25" s="99">
        <f t="shared" si="10"/>
        <v>0.8528000889015106</v>
      </c>
      <c r="AP25" s="96"/>
      <c r="AQ25" s="97">
        <f aca="true" t="shared" si="35" ref="AQ25:AQ37">IF(AO25&lt;=1.005,1.5,0)</f>
        <v>1.5</v>
      </c>
      <c r="AR25" s="100">
        <f t="shared" si="12"/>
        <v>1.5</v>
      </c>
      <c r="AS25" s="101">
        <f t="shared" si="16"/>
        <v>6</v>
      </c>
      <c r="AU25" s="83">
        <f t="shared" si="17"/>
        <v>0.7879365999771206</v>
      </c>
      <c r="AV25" s="7">
        <f t="shared" si="18"/>
        <v>0</v>
      </c>
      <c r="AW25" s="84">
        <f t="shared" si="19"/>
        <v>0</v>
      </c>
      <c r="AX25" s="84">
        <f t="shared" si="20"/>
        <v>0</v>
      </c>
      <c r="AY25" s="84">
        <f t="shared" si="21"/>
        <v>1</v>
      </c>
      <c r="AZ25" s="7">
        <f t="shared" si="22"/>
        <v>0</v>
      </c>
    </row>
    <row r="26" spans="1:52" s="9" customFormat="1" ht="12.75">
      <c r="A26" s="85" t="s">
        <v>81</v>
      </c>
      <c r="B26" s="86">
        <v>0</v>
      </c>
      <c r="C26" s="86">
        <v>856.2</v>
      </c>
      <c r="D26" s="86">
        <v>0</v>
      </c>
      <c r="E26" s="87">
        <f t="shared" si="13"/>
        <v>0</v>
      </c>
      <c r="F26" s="88"/>
      <c r="G26" s="89">
        <f t="shared" si="32"/>
        <v>1</v>
      </c>
      <c r="H26" s="90">
        <f t="shared" si="0"/>
        <v>1</v>
      </c>
      <c r="I26" s="86">
        <v>0</v>
      </c>
      <c r="J26" s="91">
        <v>307630.79005</v>
      </c>
      <c r="K26" s="92">
        <v>237049.27493</v>
      </c>
      <c r="L26" s="86">
        <v>35949.673</v>
      </c>
      <c r="M26" s="86">
        <v>0</v>
      </c>
      <c r="N26" s="87">
        <f t="shared" si="23"/>
        <v>0</v>
      </c>
      <c r="O26" s="88"/>
      <c r="P26" s="89">
        <f aca="true" t="shared" si="36" ref="P26:P38">IF(N26&lt;=0.5,1,0)</f>
        <v>1</v>
      </c>
      <c r="Q26" s="90">
        <f t="shared" si="2"/>
        <v>1</v>
      </c>
      <c r="R26" s="93">
        <v>0</v>
      </c>
      <c r="S26" s="86">
        <v>303594.59669</v>
      </c>
      <c r="T26" s="92">
        <v>149596.85488</v>
      </c>
      <c r="U26" s="87">
        <f t="shared" si="3"/>
        <v>0</v>
      </c>
      <c r="V26" s="88"/>
      <c r="W26" s="89">
        <f t="shared" si="33"/>
        <v>1</v>
      </c>
      <c r="X26" s="90">
        <f t="shared" si="14"/>
        <v>1</v>
      </c>
      <c r="Y26" s="86">
        <v>-4036.1933599999998</v>
      </c>
      <c r="Z26" s="94">
        <v>0</v>
      </c>
      <c r="AA26" s="94">
        <v>-4036.1933599999998</v>
      </c>
      <c r="AB26" s="94">
        <v>0</v>
      </c>
      <c r="AC26" s="94">
        <f t="shared" si="5"/>
        <v>307630.79005</v>
      </c>
      <c r="AD26" s="94">
        <f t="shared" si="5"/>
        <v>237049.27493</v>
      </c>
      <c r="AE26" s="94">
        <f t="shared" si="5"/>
        <v>35949.673</v>
      </c>
      <c r="AF26" s="94">
        <f t="shared" si="15"/>
        <v>34631.842119999994</v>
      </c>
      <c r="AG26" s="94">
        <f t="shared" si="31"/>
        <v>1731.5921059999998</v>
      </c>
      <c r="AH26" s="94">
        <f t="shared" si="26"/>
        <v>1731.5921059999998</v>
      </c>
      <c r="AI26" s="95">
        <f t="shared" si="24"/>
        <v>0</v>
      </c>
      <c r="AJ26" s="88"/>
      <c r="AK26" s="97">
        <f t="shared" si="34"/>
        <v>1.5</v>
      </c>
      <c r="AL26" s="90">
        <f t="shared" si="9"/>
        <v>1.5</v>
      </c>
      <c r="AM26" s="98">
        <v>11188.6</v>
      </c>
      <c r="AN26" s="89">
        <v>11648.7</v>
      </c>
      <c r="AO26" s="99">
        <f t="shared" si="10"/>
        <v>0.9605020302694721</v>
      </c>
      <c r="AP26" s="88"/>
      <c r="AQ26" s="97">
        <f t="shared" si="35"/>
        <v>1.5</v>
      </c>
      <c r="AR26" s="100">
        <f t="shared" si="12"/>
        <v>1.5</v>
      </c>
      <c r="AS26" s="101">
        <f t="shared" si="16"/>
        <v>6</v>
      </c>
      <c r="AU26" s="83">
        <f t="shared" si="17"/>
        <v>0.7808581930030036</v>
      </c>
      <c r="AV26" s="7">
        <f t="shared" si="18"/>
        <v>0</v>
      </c>
      <c r="AW26" s="84">
        <f t="shared" si="19"/>
        <v>0</v>
      </c>
      <c r="AX26" s="84">
        <f t="shared" si="20"/>
        <v>0</v>
      </c>
      <c r="AY26" s="84">
        <f t="shared" si="21"/>
        <v>1</v>
      </c>
      <c r="AZ26" s="7">
        <f t="shared" si="22"/>
        <v>0</v>
      </c>
    </row>
    <row r="27" spans="1:52" s="9" customFormat="1" ht="12.75">
      <c r="A27" s="85" t="s">
        <v>82</v>
      </c>
      <c r="B27" s="86">
        <v>497</v>
      </c>
      <c r="C27" s="86">
        <v>3863.532</v>
      </c>
      <c r="D27" s="86">
        <v>0</v>
      </c>
      <c r="E27" s="87">
        <f t="shared" si="13"/>
        <v>0.12863876887780404</v>
      </c>
      <c r="F27" s="88"/>
      <c r="G27" s="89">
        <f t="shared" si="32"/>
        <v>1</v>
      </c>
      <c r="H27" s="90">
        <f t="shared" si="0"/>
        <v>1</v>
      </c>
      <c r="I27" s="86">
        <v>0</v>
      </c>
      <c r="J27" s="91">
        <v>291597.04612</v>
      </c>
      <c r="K27" s="92">
        <v>219873.4744</v>
      </c>
      <c r="L27" s="86">
        <v>44350.621479999994</v>
      </c>
      <c r="M27" s="86">
        <v>0</v>
      </c>
      <c r="N27" s="87">
        <f t="shared" si="23"/>
        <v>0</v>
      </c>
      <c r="O27" s="88"/>
      <c r="P27" s="89">
        <f t="shared" si="36"/>
        <v>1</v>
      </c>
      <c r="Q27" s="90">
        <f t="shared" si="2"/>
        <v>1</v>
      </c>
      <c r="R27" s="93">
        <v>0</v>
      </c>
      <c r="S27" s="86">
        <v>294573.45469</v>
      </c>
      <c r="T27" s="92">
        <v>147936.13762</v>
      </c>
      <c r="U27" s="87">
        <f t="shared" si="3"/>
        <v>0</v>
      </c>
      <c r="V27" s="88"/>
      <c r="W27" s="89">
        <f t="shared" si="33"/>
        <v>1</v>
      </c>
      <c r="X27" s="90">
        <f t="shared" si="14"/>
        <v>1</v>
      </c>
      <c r="Y27" s="86">
        <v>2976.40857</v>
      </c>
      <c r="Z27" s="94">
        <v>0</v>
      </c>
      <c r="AA27" s="94">
        <v>2976.40857</v>
      </c>
      <c r="AB27" s="94">
        <v>0</v>
      </c>
      <c r="AC27" s="94">
        <f t="shared" si="5"/>
        <v>291597.04612</v>
      </c>
      <c r="AD27" s="94">
        <f t="shared" si="5"/>
        <v>219873.4744</v>
      </c>
      <c r="AE27" s="94">
        <f t="shared" si="5"/>
        <v>44350.621479999994</v>
      </c>
      <c r="AF27" s="94">
        <f t="shared" si="15"/>
        <v>27372.950240000013</v>
      </c>
      <c r="AG27" s="94">
        <f t="shared" si="31"/>
        <v>1368.6475120000007</v>
      </c>
      <c r="AH27" s="94">
        <f t="shared" si="26"/>
        <v>4345.056082000001</v>
      </c>
      <c r="AI27" s="95">
        <f t="shared" si="24"/>
        <v>0</v>
      </c>
      <c r="AJ27" s="88"/>
      <c r="AK27" s="97">
        <f t="shared" si="34"/>
        <v>1.5</v>
      </c>
      <c r="AL27" s="90">
        <f t="shared" si="9"/>
        <v>1.5</v>
      </c>
      <c r="AM27" s="98">
        <v>9019.3</v>
      </c>
      <c r="AN27" s="89">
        <v>10503.3</v>
      </c>
      <c r="AO27" s="99">
        <f t="shared" si="10"/>
        <v>0.8587110717583998</v>
      </c>
      <c r="AP27" s="88"/>
      <c r="AQ27" s="97">
        <f t="shared" si="35"/>
        <v>1.5</v>
      </c>
      <c r="AR27" s="100">
        <f t="shared" si="12"/>
        <v>1.5</v>
      </c>
      <c r="AS27" s="101">
        <f t="shared" si="16"/>
        <v>6</v>
      </c>
      <c r="AU27" s="83">
        <f t="shared" si="17"/>
        <v>0.8094613870550593</v>
      </c>
      <c r="AV27" s="7">
        <f t="shared" si="18"/>
        <v>0</v>
      </c>
      <c r="AW27" s="84">
        <f t="shared" si="19"/>
        <v>0</v>
      </c>
      <c r="AX27" s="84">
        <f t="shared" si="20"/>
        <v>0</v>
      </c>
      <c r="AY27" s="84">
        <f t="shared" si="21"/>
        <v>1</v>
      </c>
      <c r="AZ27" s="7">
        <f t="shared" si="22"/>
        <v>0</v>
      </c>
    </row>
    <row r="28" spans="1:52" s="9" customFormat="1" ht="12.75">
      <c r="A28" s="85" t="s">
        <v>83</v>
      </c>
      <c r="B28" s="86">
        <v>0</v>
      </c>
      <c r="C28" s="86">
        <v>1692.4148500000001</v>
      </c>
      <c r="D28" s="86">
        <v>0</v>
      </c>
      <c r="E28" s="87">
        <f t="shared" si="13"/>
        <v>0</v>
      </c>
      <c r="F28" s="88"/>
      <c r="G28" s="89">
        <f t="shared" si="32"/>
        <v>1</v>
      </c>
      <c r="H28" s="90">
        <f t="shared" si="0"/>
        <v>1</v>
      </c>
      <c r="I28" s="86">
        <v>0</v>
      </c>
      <c r="J28" s="91">
        <v>194249.89447</v>
      </c>
      <c r="K28" s="92">
        <v>159499.09701</v>
      </c>
      <c r="L28" s="86">
        <v>21359.998</v>
      </c>
      <c r="M28" s="86">
        <v>0</v>
      </c>
      <c r="N28" s="87">
        <f t="shared" si="23"/>
        <v>0</v>
      </c>
      <c r="O28" s="88"/>
      <c r="P28" s="89">
        <f t="shared" si="36"/>
        <v>1</v>
      </c>
      <c r="Q28" s="90">
        <f t="shared" si="2"/>
        <v>1</v>
      </c>
      <c r="R28" s="93">
        <v>0</v>
      </c>
      <c r="S28" s="86">
        <v>193709.49386000002</v>
      </c>
      <c r="T28" s="92">
        <v>105031.76295</v>
      </c>
      <c r="U28" s="87">
        <f t="shared" si="3"/>
        <v>0</v>
      </c>
      <c r="V28" s="88"/>
      <c r="W28" s="89">
        <f t="shared" si="33"/>
        <v>1</v>
      </c>
      <c r="X28" s="90">
        <f t="shared" si="14"/>
        <v>1</v>
      </c>
      <c r="Y28" s="86">
        <v>-540.40061</v>
      </c>
      <c r="Z28" s="94">
        <v>0</v>
      </c>
      <c r="AA28" s="94">
        <v>-540.40061</v>
      </c>
      <c r="AB28" s="94">
        <v>0</v>
      </c>
      <c r="AC28" s="94">
        <f t="shared" si="5"/>
        <v>194249.89447</v>
      </c>
      <c r="AD28" s="94">
        <f t="shared" si="5"/>
        <v>159499.09701</v>
      </c>
      <c r="AE28" s="94">
        <f t="shared" si="5"/>
        <v>21359.998</v>
      </c>
      <c r="AF28" s="94">
        <f t="shared" si="15"/>
        <v>13390.799460000002</v>
      </c>
      <c r="AG28" s="94">
        <f t="shared" si="31"/>
        <v>669.5399730000001</v>
      </c>
      <c r="AH28" s="94">
        <f t="shared" si="26"/>
        <v>669.5399730000001</v>
      </c>
      <c r="AI28" s="95">
        <f t="shared" si="24"/>
        <v>0</v>
      </c>
      <c r="AJ28" s="88"/>
      <c r="AK28" s="97">
        <f t="shared" si="34"/>
        <v>1.5</v>
      </c>
      <c r="AL28" s="90">
        <f t="shared" si="9"/>
        <v>1.5</v>
      </c>
      <c r="AM28" s="98">
        <v>8620.3</v>
      </c>
      <c r="AN28" s="89">
        <v>10504.6</v>
      </c>
      <c r="AO28" s="99">
        <f t="shared" si="10"/>
        <v>0.8206214420349179</v>
      </c>
      <c r="AP28" s="88"/>
      <c r="AQ28" s="97">
        <f t="shared" si="35"/>
        <v>1.5</v>
      </c>
      <c r="AR28" s="100">
        <f t="shared" si="12"/>
        <v>1.5</v>
      </c>
      <c r="AS28" s="101">
        <f t="shared" si="16"/>
        <v>6</v>
      </c>
      <c r="AU28" s="83">
        <f t="shared" si="17"/>
        <v>0.8499094384531221</v>
      </c>
      <c r="AV28" s="7">
        <f t="shared" si="18"/>
        <v>0</v>
      </c>
      <c r="AW28" s="84">
        <f t="shared" si="19"/>
        <v>0</v>
      </c>
      <c r="AX28" s="84">
        <f t="shared" si="20"/>
        <v>0</v>
      </c>
      <c r="AY28" s="84">
        <f t="shared" si="21"/>
        <v>1</v>
      </c>
      <c r="AZ28" s="7">
        <f t="shared" si="22"/>
        <v>0</v>
      </c>
    </row>
    <row r="29" spans="1:52" s="9" customFormat="1" ht="12.75">
      <c r="A29" s="85" t="s">
        <v>84</v>
      </c>
      <c r="B29" s="86">
        <v>0</v>
      </c>
      <c r="C29" s="86">
        <v>3176.2522599999998</v>
      </c>
      <c r="D29" s="86">
        <v>0</v>
      </c>
      <c r="E29" s="87">
        <f t="shared" si="13"/>
        <v>0</v>
      </c>
      <c r="F29" s="88"/>
      <c r="G29" s="89">
        <f t="shared" si="32"/>
        <v>1</v>
      </c>
      <c r="H29" s="90">
        <f t="shared" si="0"/>
        <v>1</v>
      </c>
      <c r="I29" s="86">
        <v>0</v>
      </c>
      <c r="J29" s="91">
        <v>261211.0931</v>
      </c>
      <c r="K29" s="92">
        <v>199736.1943</v>
      </c>
      <c r="L29" s="86">
        <v>39143.696</v>
      </c>
      <c r="M29" s="86">
        <v>0</v>
      </c>
      <c r="N29" s="87">
        <f t="shared" si="23"/>
        <v>0</v>
      </c>
      <c r="O29" s="88"/>
      <c r="P29" s="89">
        <f t="shared" si="36"/>
        <v>1</v>
      </c>
      <c r="Q29" s="90">
        <f t="shared" si="2"/>
        <v>1</v>
      </c>
      <c r="R29" s="93">
        <v>0</v>
      </c>
      <c r="S29" s="86">
        <v>258403.81588</v>
      </c>
      <c r="T29" s="92">
        <v>125150.09617</v>
      </c>
      <c r="U29" s="87">
        <f t="shared" si="3"/>
        <v>0</v>
      </c>
      <c r="V29" s="88"/>
      <c r="W29" s="89">
        <f t="shared" si="33"/>
        <v>1</v>
      </c>
      <c r="X29" s="90">
        <f t="shared" si="14"/>
        <v>1</v>
      </c>
      <c r="Y29" s="86">
        <v>-2807.2772200000004</v>
      </c>
      <c r="Z29" s="94">
        <v>0</v>
      </c>
      <c r="AA29" s="94">
        <v>-2807.2772200000004</v>
      </c>
      <c r="AB29" s="94">
        <v>0</v>
      </c>
      <c r="AC29" s="94">
        <f t="shared" si="5"/>
        <v>261211.0931</v>
      </c>
      <c r="AD29" s="94">
        <f t="shared" si="5"/>
        <v>199736.1943</v>
      </c>
      <c r="AE29" s="94">
        <f t="shared" si="5"/>
        <v>39143.696</v>
      </c>
      <c r="AF29" s="94">
        <f t="shared" si="15"/>
        <v>22331.202799999992</v>
      </c>
      <c r="AG29" s="94">
        <f t="shared" si="31"/>
        <v>1116.5601399999996</v>
      </c>
      <c r="AH29" s="94">
        <f t="shared" si="26"/>
        <v>1116.5601399999996</v>
      </c>
      <c r="AI29" s="95">
        <f t="shared" si="24"/>
        <v>0</v>
      </c>
      <c r="AJ29" s="88"/>
      <c r="AK29" s="97">
        <f t="shared" si="34"/>
        <v>1.5</v>
      </c>
      <c r="AL29" s="90">
        <f t="shared" si="9"/>
        <v>1.5</v>
      </c>
      <c r="AM29" s="98">
        <v>9721.9</v>
      </c>
      <c r="AN29" s="89">
        <v>11394.1</v>
      </c>
      <c r="AO29" s="99">
        <f t="shared" si="10"/>
        <v>0.8532398346512668</v>
      </c>
      <c r="AP29" s="88"/>
      <c r="AQ29" s="97">
        <f t="shared" si="35"/>
        <v>1.5</v>
      </c>
      <c r="AR29" s="100">
        <f t="shared" si="12"/>
        <v>1.5</v>
      </c>
      <c r="AS29" s="101">
        <f t="shared" si="16"/>
        <v>6</v>
      </c>
      <c r="AU29" s="83">
        <f t="shared" si="17"/>
        <v>0.8358735912284337</v>
      </c>
      <c r="AV29" s="7">
        <f t="shared" si="18"/>
        <v>0</v>
      </c>
      <c r="AW29" s="84">
        <f t="shared" si="19"/>
        <v>0</v>
      </c>
      <c r="AX29" s="84">
        <f t="shared" si="20"/>
        <v>0</v>
      </c>
      <c r="AY29" s="84">
        <f t="shared" si="21"/>
        <v>1</v>
      </c>
      <c r="AZ29" s="7">
        <f t="shared" si="22"/>
        <v>0</v>
      </c>
    </row>
    <row r="30" spans="1:52" s="9" customFormat="1" ht="12.75">
      <c r="A30" s="85" t="s">
        <v>85</v>
      </c>
      <c r="B30" s="86">
        <v>0</v>
      </c>
      <c r="C30" s="86">
        <v>12739.75183</v>
      </c>
      <c r="D30" s="86">
        <v>0</v>
      </c>
      <c r="E30" s="87">
        <f t="shared" si="13"/>
        <v>0</v>
      </c>
      <c r="F30" s="88"/>
      <c r="G30" s="89">
        <f t="shared" si="32"/>
        <v>1</v>
      </c>
      <c r="H30" s="90">
        <f t="shared" si="0"/>
        <v>1</v>
      </c>
      <c r="I30" s="86">
        <v>0</v>
      </c>
      <c r="J30" s="91">
        <v>322542.00714</v>
      </c>
      <c r="K30" s="92">
        <v>229535.62402000002</v>
      </c>
      <c r="L30" s="86">
        <v>54183.72896</v>
      </c>
      <c r="M30" s="86">
        <v>0</v>
      </c>
      <c r="N30" s="87">
        <f t="shared" si="23"/>
        <v>0</v>
      </c>
      <c r="O30" s="88"/>
      <c r="P30" s="89">
        <f>IF(N30&lt;=0.5,1,0)</f>
        <v>1</v>
      </c>
      <c r="Q30" s="90">
        <f>O30+P30</f>
        <v>1</v>
      </c>
      <c r="R30" s="93">
        <v>0</v>
      </c>
      <c r="S30" s="86">
        <v>314036.81722</v>
      </c>
      <c r="T30" s="92">
        <v>169313.11811</v>
      </c>
      <c r="U30" s="87">
        <f t="shared" si="3"/>
        <v>0</v>
      </c>
      <c r="V30" s="88"/>
      <c r="W30" s="89">
        <f t="shared" si="33"/>
        <v>1</v>
      </c>
      <c r="X30" s="90">
        <f t="shared" si="14"/>
        <v>1</v>
      </c>
      <c r="Y30" s="86">
        <v>-8505.18992</v>
      </c>
      <c r="Z30" s="94">
        <v>0</v>
      </c>
      <c r="AA30" s="94">
        <v>-8505.18992</v>
      </c>
      <c r="AB30" s="94">
        <v>0</v>
      </c>
      <c r="AC30" s="94">
        <f t="shared" si="5"/>
        <v>322542.00714</v>
      </c>
      <c r="AD30" s="94">
        <f t="shared" si="5"/>
        <v>229535.62402000002</v>
      </c>
      <c r="AE30" s="94">
        <f t="shared" si="5"/>
        <v>54183.72896</v>
      </c>
      <c r="AF30" s="94">
        <f t="shared" si="15"/>
        <v>38822.654159999984</v>
      </c>
      <c r="AG30" s="94">
        <f>AF30*10%</f>
        <v>3882.2654159999984</v>
      </c>
      <c r="AH30" s="94">
        <f t="shared" si="26"/>
        <v>3882.2654159999984</v>
      </c>
      <c r="AI30" s="95">
        <f t="shared" si="24"/>
        <v>0</v>
      </c>
      <c r="AJ30" s="96"/>
      <c r="AK30" s="97">
        <f t="shared" si="34"/>
        <v>1.5</v>
      </c>
      <c r="AL30" s="90">
        <f t="shared" si="9"/>
        <v>1.5</v>
      </c>
      <c r="AM30" s="98">
        <v>13649.4</v>
      </c>
      <c r="AN30" s="89">
        <v>15655</v>
      </c>
      <c r="AO30" s="99">
        <f t="shared" si="10"/>
        <v>0.8718875758543596</v>
      </c>
      <c r="AP30" s="96"/>
      <c r="AQ30" s="97">
        <f t="shared" si="35"/>
        <v>1.5</v>
      </c>
      <c r="AR30" s="100">
        <f t="shared" si="12"/>
        <v>1.5</v>
      </c>
      <c r="AS30" s="101">
        <f t="shared" si="16"/>
        <v>6</v>
      </c>
      <c r="AU30" s="83">
        <f t="shared" si="17"/>
        <v>0.746636196308915</v>
      </c>
      <c r="AV30" s="7">
        <f t="shared" si="18"/>
        <v>0</v>
      </c>
      <c r="AW30" s="84">
        <f t="shared" si="19"/>
        <v>0</v>
      </c>
      <c r="AX30" s="84">
        <f t="shared" si="20"/>
        <v>0</v>
      </c>
      <c r="AY30" s="84">
        <f t="shared" si="21"/>
        <v>1</v>
      </c>
      <c r="AZ30" s="7">
        <f t="shared" si="22"/>
        <v>0</v>
      </c>
    </row>
    <row r="31" spans="1:52" s="9" customFormat="1" ht="12.75">
      <c r="A31" s="85" t="s">
        <v>86</v>
      </c>
      <c r="B31" s="86">
        <v>0</v>
      </c>
      <c r="C31" s="86">
        <v>984.456</v>
      </c>
      <c r="D31" s="86">
        <v>0</v>
      </c>
      <c r="E31" s="87">
        <f t="shared" si="13"/>
        <v>0</v>
      </c>
      <c r="F31" s="88"/>
      <c r="G31" s="89">
        <f t="shared" si="32"/>
        <v>1</v>
      </c>
      <c r="H31" s="90">
        <f t="shared" si="0"/>
        <v>1</v>
      </c>
      <c r="I31" s="86">
        <v>0</v>
      </c>
      <c r="J31" s="91">
        <v>215512.959</v>
      </c>
      <c r="K31" s="92">
        <v>190673.54038999998</v>
      </c>
      <c r="L31" s="86">
        <v>15613.726</v>
      </c>
      <c r="M31" s="86">
        <v>0</v>
      </c>
      <c r="N31" s="87">
        <f t="shared" si="23"/>
        <v>0</v>
      </c>
      <c r="O31" s="88"/>
      <c r="P31" s="89">
        <f t="shared" si="36"/>
        <v>1</v>
      </c>
      <c r="Q31" s="90">
        <f t="shared" si="2"/>
        <v>1</v>
      </c>
      <c r="R31" s="93">
        <v>0</v>
      </c>
      <c r="S31" s="86">
        <v>214082.40238999997</v>
      </c>
      <c r="T31" s="92">
        <v>117274.60412999999</v>
      </c>
      <c r="U31" s="87">
        <f t="shared" si="3"/>
        <v>0</v>
      </c>
      <c r="V31" s="88"/>
      <c r="W31" s="89">
        <f t="shared" si="33"/>
        <v>1</v>
      </c>
      <c r="X31" s="90">
        <f t="shared" si="14"/>
        <v>1</v>
      </c>
      <c r="Y31" s="86">
        <v>-1430.55661</v>
      </c>
      <c r="Z31" s="94">
        <v>0</v>
      </c>
      <c r="AA31" s="94">
        <v>-1430.55661</v>
      </c>
      <c r="AB31" s="94">
        <v>0</v>
      </c>
      <c r="AC31" s="94">
        <f t="shared" si="5"/>
        <v>215512.959</v>
      </c>
      <c r="AD31" s="94">
        <f t="shared" si="5"/>
        <v>190673.54038999998</v>
      </c>
      <c r="AE31" s="94">
        <f t="shared" si="5"/>
        <v>15613.726</v>
      </c>
      <c r="AF31" s="94">
        <f t="shared" si="15"/>
        <v>9225.692610000022</v>
      </c>
      <c r="AG31" s="94">
        <f t="shared" si="31"/>
        <v>461.28463050000113</v>
      </c>
      <c r="AH31" s="94">
        <f t="shared" si="26"/>
        <v>461.28463050000113</v>
      </c>
      <c r="AI31" s="95">
        <f t="shared" si="24"/>
        <v>0</v>
      </c>
      <c r="AJ31" s="88"/>
      <c r="AK31" s="97">
        <f t="shared" si="34"/>
        <v>1.5</v>
      </c>
      <c r="AL31" s="90">
        <f t="shared" si="9"/>
        <v>1.5</v>
      </c>
      <c r="AM31" s="98">
        <v>7580.8</v>
      </c>
      <c r="AN31" s="89">
        <v>9659.6</v>
      </c>
      <c r="AO31" s="99">
        <f t="shared" si="10"/>
        <v>0.7847944014244896</v>
      </c>
      <c r="AP31" s="88"/>
      <c r="AQ31" s="97">
        <f t="shared" si="35"/>
        <v>1.5</v>
      </c>
      <c r="AR31" s="100">
        <f t="shared" si="12"/>
        <v>1.5</v>
      </c>
      <c r="AS31" s="101">
        <f t="shared" si="16"/>
        <v>6</v>
      </c>
      <c r="AU31" s="83">
        <f t="shared" si="17"/>
        <v>0.9060886898787291</v>
      </c>
      <c r="AV31" s="7">
        <f t="shared" si="18"/>
        <v>0</v>
      </c>
      <c r="AW31" s="84">
        <f t="shared" si="19"/>
        <v>0</v>
      </c>
      <c r="AX31" s="84">
        <f t="shared" si="20"/>
        <v>0</v>
      </c>
      <c r="AY31" s="84">
        <f t="shared" si="21"/>
        <v>0</v>
      </c>
      <c r="AZ31" s="7">
        <f t="shared" si="22"/>
        <v>1</v>
      </c>
    </row>
    <row r="32" spans="1:52" s="9" customFormat="1" ht="12.75">
      <c r="A32" s="85" t="s">
        <v>87</v>
      </c>
      <c r="B32" s="86">
        <v>0</v>
      </c>
      <c r="C32" s="86">
        <v>5102.87397</v>
      </c>
      <c r="D32" s="86">
        <v>0</v>
      </c>
      <c r="E32" s="87">
        <f t="shared" si="13"/>
        <v>0</v>
      </c>
      <c r="F32" s="88"/>
      <c r="G32" s="89">
        <f t="shared" si="32"/>
        <v>1</v>
      </c>
      <c r="H32" s="90">
        <f t="shared" si="0"/>
        <v>1</v>
      </c>
      <c r="I32" s="86">
        <v>0</v>
      </c>
      <c r="J32" s="91">
        <v>461579.17266000004</v>
      </c>
      <c r="K32" s="92">
        <v>345024.77836</v>
      </c>
      <c r="L32" s="86">
        <v>78852.85844</v>
      </c>
      <c r="M32" s="86">
        <v>0</v>
      </c>
      <c r="N32" s="87">
        <f t="shared" si="23"/>
        <v>0</v>
      </c>
      <c r="O32" s="88"/>
      <c r="P32" s="89">
        <f t="shared" si="36"/>
        <v>1</v>
      </c>
      <c r="Q32" s="90">
        <f t="shared" si="2"/>
        <v>1</v>
      </c>
      <c r="R32" s="93">
        <v>0</v>
      </c>
      <c r="S32" s="86">
        <v>463004.62955</v>
      </c>
      <c r="T32" s="92">
        <v>232122.59980000003</v>
      </c>
      <c r="U32" s="87">
        <f t="shared" si="3"/>
        <v>0</v>
      </c>
      <c r="V32" s="88"/>
      <c r="W32" s="89">
        <f t="shared" si="33"/>
        <v>1</v>
      </c>
      <c r="X32" s="90">
        <f t="shared" si="14"/>
        <v>1</v>
      </c>
      <c r="Y32" s="86">
        <v>1425.45689</v>
      </c>
      <c r="Z32" s="94">
        <v>0</v>
      </c>
      <c r="AA32" s="94">
        <v>1425.45689</v>
      </c>
      <c r="AB32" s="94">
        <v>0</v>
      </c>
      <c r="AC32" s="94">
        <f t="shared" si="5"/>
        <v>461579.17266000004</v>
      </c>
      <c r="AD32" s="94">
        <f t="shared" si="5"/>
        <v>345024.77836</v>
      </c>
      <c r="AE32" s="94">
        <f t="shared" si="5"/>
        <v>78852.85844</v>
      </c>
      <c r="AF32" s="94">
        <f t="shared" si="15"/>
        <v>37701.53586000005</v>
      </c>
      <c r="AG32" s="94">
        <f t="shared" si="31"/>
        <v>1885.0767930000025</v>
      </c>
      <c r="AH32" s="94">
        <f t="shared" si="26"/>
        <v>3310.5336830000024</v>
      </c>
      <c r="AI32" s="95">
        <f t="shared" si="24"/>
        <v>0</v>
      </c>
      <c r="AJ32" s="88"/>
      <c r="AK32" s="97">
        <f t="shared" si="34"/>
        <v>1.5</v>
      </c>
      <c r="AL32" s="90">
        <f t="shared" si="9"/>
        <v>1.5</v>
      </c>
      <c r="AM32" s="98">
        <v>13573.9</v>
      </c>
      <c r="AN32" s="89">
        <v>16484.8</v>
      </c>
      <c r="AO32" s="99">
        <f>AM32/AN32</f>
        <v>0.8234191497622052</v>
      </c>
      <c r="AP32" s="88"/>
      <c r="AQ32" s="97">
        <f t="shared" si="35"/>
        <v>1.5</v>
      </c>
      <c r="AR32" s="100">
        <f t="shared" si="12"/>
        <v>1.5</v>
      </c>
      <c r="AS32" s="101">
        <f t="shared" si="16"/>
        <v>6</v>
      </c>
      <c r="AU32" s="83">
        <f t="shared" si="17"/>
        <v>0.8356920641231612</v>
      </c>
      <c r="AV32" s="7">
        <f t="shared" si="18"/>
        <v>0</v>
      </c>
      <c r="AW32" s="84">
        <f t="shared" si="19"/>
        <v>0</v>
      </c>
      <c r="AX32" s="84">
        <f t="shared" si="20"/>
        <v>0</v>
      </c>
      <c r="AY32" s="84">
        <f t="shared" si="21"/>
        <v>1</v>
      </c>
      <c r="AZ32" s="7">
        <f t="shared" si="22"/>
        <v>0</v>
      </c>
    </row>
    <row r="33" spans="1:52" s="9" customFormat="1" ht="12.75">
      <c r="A33" s="85" t="s">
        <v>88</v>
      </c>
      <c r="B33" s="86">
        <v>0</v>
      </c>
      <c r="C33" s="86">
        <v>3355.41255</v>
      </c>
      <c r="D33" s="86">
        <v>0</v>
      </c>
      <c r="E33" s="87">
        <f>IF(AND(B33=0,D33=0),0,B33/(IF(C33&gt;0,C33,0)+D33))</f>
        <v>0</v>
      </c>
      <c r="F33" s="88"/>
      <c r="G33" s="89">
        <f t="shared" si="32"/>
        <v>1</v>
      </c>
      <c r="H33" s="90">
        <f>F33+G33</f>
        <v>1</v>
      </c>
      <c r="I33" s="86">
        <v>0</v>
      </c>
      <c r="J33" s="91">
        <v>602996.1306</v>
      </c>
      <c r="K33" s="92">
        <v>449387.40408999997</v>
      </c>
      <c r="L33" s="86">
        <v>84604.917</v>
      </c>
      <c r="M33" s="86">
        <v>0</v>
      </c>
      <c r="N33" s="87">
        <f>(I33-M33)/(J33-K33-L33)</f>
        <v>0</v>
      </c>
      <c r="O33" s="88"/>
      <c r="P33" s="89">
        <f>IF(N33&lt;=0.5,1,0)</f>
        <v>1</v>
      </c>
      <c r="Q33" s="90">
        <f>O33+P33</f>
        <v>1</v>
      </c>
      <c r="R33" s="93">
        <v>0</v>
      </c>
      <c r="S33" s="86">
        <v>597936.26762</v>
      </c>
      <c r="T33" s="92">
        <v>299967.29339</v>
      </c>
      <c r="U33" s="87">
        <f>R33/(S33-T33)</f>
        <v>0</v>
      </c>
      <c r="V33" s="88"/>
      <c r="W33" s="89">
        <f>IF(U33&lt;=0.15,1,0)</f>
        <v>1</v>
      </c>
      <c r="X33" s="90">
        <f t="shared" si="14"/>
        <v>1</v>
      </c>
      <c r="Y33" s="86">
        <v>-5059.862980000001</v>
      </c>
      <c r="Z33" s="94">
        <v>0</v>
      </c>
      <c r="AA33" s="94">
        <v>-5059.862980000001</v>
      </c>
      <c r="AB33" s="94">
        <v>0</v>
      </c>
      <c r="AC33" s="94">
        <f>J33</f>
        <v>602996.1306</v>
      </c>
      <c r="AD33" s="94">
        <f>K33</f>
        <v>449387.40408999997</v>
      </c>
      <c r="AE33" s="94">
        <f>L33</f>
        <v>84604.917</v>
      </c>
      <c r="AF33" s="94">
        <f>AC33-AD33-AE33</f>
        <v>69003.80951000006</v>
      </c>
      <c r="AG33" s="94">
        <f>AF33*10%</f>
        <v>6900.3809510000065</v>
      </c>
      <c r="AH33" s="94">
        <f>IF(AA33&gt;0,AA33,0)+AG33+IF(AB33&gt;0,AB33,0)</f>
        <v>6900.3809510000065</v>
      </c>
      <c r="AI33" s="95">
        <f>IF((Y33-IF(Z33&gt;0,Z33,0)-IF(AA33&gt;0,AA33,0)-IF(AB33&gt;0,AB33,0))/(AC33-AD33-AE33)&gt;0,(Y33-IF(Z33&gt;0,Z33,0)-IF(AA33&gt;0,AA33,0)-IF(AB33&gt;0,AB33,0))/(AC33-AD33-AE33),0)</f>
        <v>0</v>
      </c>
      <c r="AJ33" s="96"/>
      <c r="AK33" s="97">
        <f>IF(AI33&lt;=0.055,1.5,0)</f>
        <v>1.5</v>
      </c>
      <c r="AL33" s="90">
        <f>AJ33+AK33</f>
        <v>1.5</v>
      </c>
      <c r="AM33" s="98">
        <v>18550</v>
      </c>
      <c r="AN33" s="89">
        <v>19556.3</v>
      </c>
      <c r="AO33" s="99">
        <f>AM33/AN33</f>
        <v>0.9485434361305565</v>
      </c>
      <c r="AP33" s="96"/>
      <c r="AQ33" s="97">
        <f>IF(AO33&lt;=1.005,1.5,0)</f>
        <v>1.5</v>
      </c>
      <c r="AR33" s="100">
        <f>AP33+AQ33</f>
        <v>1.5</v>
      </c>
      <c r="AS33" s="101">
        <f>H33+Q33+X33+AL33+AR33</f>
        <v>6</v>
      </c>
      <c r="AT33" s="102"/>
      <c r="AU33" s="83">
        <f t="shared" si="17"/>
        <v>0.7722863271188274</v>
      </c>
      <c r="AV33" s="7">
        <f t="shared" si="18"/>
        <v>0</v>
      </c>
      <c r="AW33" s="84">
        <f t="shared" si="19"/>
        <v>0</v>
      </c>
      <c r="AX33" s="84">
        <f t="shared" si="20"/>
        <v>0</v>
      </c>
      <c r="AY33" s="84">
        <f t="shared" si="21"/>
        <v>1</v>
      </c>
      <c r="AZ33" s="7">
        <f t="shared" si="22"/>
        <v>0</v>
      </c>
    </row>
    <row r="34" spans="1:52" s="9" customFormat="1" ht="12.75">
      <c r="A34" s="85" t="s">
        <v>89</v>
      </c>
      <c r="B34" s="86">
        <v>0</v>
      </c>
      <c r="C34" s="86">
        <v>1418.146</v>
      </c>
      <c r="D34" s="86">
        <v>0</v>
      </c>
      <c r="E34" s="87">
        <f t="shared" si="13"/>
        <v>0</v>
      </c>
      <c r="F34" s="88"/>
      <c r="G34" s="89">
        <f t="shared" si="32"/>
        <v>1</v>
      </c>
      <c r="H34" s="90">
        <f t="shared" si="0"/>
        <v>1</v>
      </c>
      <c r="I34" s="86">
        <v>0</v>
      </c>
      <c r="J34" s="91">
        <v>130198.02278</v>
      </c>
      <c r="K34" s="92">
        <v>94643.17237</v>
      </c>
      <c r="L34" s="86">
        <v>22820.458</v>
      </c>
      <c r="M34" s="86">
        <v>0</v>
      </c>
      <c r="N34" s="87">
        <f t="shared" si="23"/>
        <v>0</v>
      </c>
      <c r="O34" s="88"/>
      <c r="P34" s="89">
        <f t="shared" si="36"/>
        <v>1</v>
      </c>
      <c r="Q34" s="90">
        <f t="shared" si="2"/>
        <v>1</v>
      </c>
      <c r="R34" s="93">
        <v>0</v>
      </c>
      <c r="S34" s="86">
        <v>130354.34739</v>
      </c>
      <c r="T34" s="92">
        <v>61756.29461</v>
      </c>
      <c r="U34" s="87">
        <f t="shared" si="3"/>
        <v>0</v>
      </c>
      <c r="V34" s="88"/>
      <c r="W34" s="89">
        <f t="shared" si="33"/>
        <v>1</v>
      </c>
      <c r="X34" s="90">
        <f t="shared" si="14"/>
        <v>1</v>
      </c>
      <c r="Y34" s="86">
        <v>156.32460999999998</v>
      </c>
      <c r="Z34" s="94">
        <v>0</v>
      </c>
      <c r="AA34" s="94">
        <v>156.32460999999998</v>
      </c>
      <c r="AB34" s="94">
        <v>0</v>
      </c>
      <c r="AC34" s="94">
        <f t="shared" si="5"/>
        <v>130198.02278</v>
      </c>
      <c r="AD34" s="94">
        <f t="shared" si="5"/>
        <v>94643.17237</v>
      </c>
      <c r="AE34" s="94">
        <f t="shared" si="5"/>
        <v>22820.458</v>
      </c>
      <c r="AF34" s="94">
        <f t="shared" si="15"/>
        <v>12734.39241</v>
      </c>
      <c r="AG34" s="94">
        <f aca="true" t="shared" si="37" ref="AG34:AG39">AF34*5%</f>
        <v>636.7196205</v>
      </c>
      <c r="AH34" s="94">
        <f t="shared" si="26"/>
        <v>793.0442305</v>
      </c>
      <c r="AI34" s="95">
        <f t="shared" si="24"/>
        <v>0</v>
      </c>
      <c r="AJ34" s="88"/>
      <c r="AK34" s="97">
        <f>IF(AI34&lt;=0.055,1.5,0)</f>
        <v>1.5</v>
      </c>
      <c r="AL34" s="90">
        <f t="shared" si="9"/>
        <v>1.5</v>
      </c>
      <c r="AM34" s="98">
        <v>6403.9</v>
      </c>
      <c r="AN34" s="89">
        <v>7481.6</v>
      </c>
      <c r="AO34" s="99">
        <f t="shared" si="10"/>
        <v>0.8559532720273737</v>
      </c>
      <c r="AP34" s="88"/>
      <c r="AQ34" s="97">
        <f t="shared" si="35"/>
        <v>1.5</v>
      </c>
      <c r="AR34" s="100">
        <f t="shared" si="12"/>
        <v>1.5</v>
      </c>
      <c r="AS34" s="101">
        <f t="shared" si="16"/>
        <v>6</v>
      </c>
      <c r="AU34" s="83">
        <f t="shared" si="17"/>
        <v>0.8139381814209967</v>
      </c>
      <c r="AV34" s="7">
        <f t="shared" si="18"/>
        <v>0</v>
      </c>
      <c r="AW34" s="84">
        <f t="shared" si="19"/>
        <v>0</v>
      </c>
      <c r="AX34" s="84">
        <f t="shared" si="20"/>
        <v>0</v>
      </c>
      <c r="AY34" s="84">
        <f t="shared" si="21"/>
        <v>1</v>
      </c>
      <c r="AZ34" s="7">
        <f t="shared" si="22"/>
        <v>0</v>
      </c>
    </row>
    <row r="35" spans="1:52" s="9" customFormat="1" ht="12.75">
      <c r="A35" s="108" t="s">
        <v>90</v>
      </c>
      <c r="B35" s="62">
        <v>0</v>
      </c>
      <c r="C35" s="62">
        <v>2103.3192200000003</v>
      </c>
      <c r="D35" s="62">
        <v>0</v>
      </c>
      <c r="E35" s="70">
        <f>IF(AND(B35=0,D35=0),0,B35/(IF(C35&gt;0,C35,0)+D35))</f>
        <v>0</v>
      </c>
      <c r="F35" s="64">
        <f>IF(E35&lt;=1.05,1,0)</f>
        <v>1</v>
      </c>
      <c r="G35" s="76"/>
      <c r="H35" s="77">
        <f t="shared" si="0"/>
        <v>1</v>
      </c>
      <c r="I35" s="62">
        <v>0</v>
      </c>
      <c r="J35" s="68">
        <v>258106.21143</v>
      </c>
      <c r="K35" s="69">
        <v>197084.72475</v>
      </c>
      <c r="L35" s="62">
        <v>27150.98528</v>
      </c>
      <c r="M35" s="62">
        <v>0</v>
      </c>
      <c r="N35" s="70">
        <f t="shared" si="23"/>
        <v>0</v>
      </c>
      <c r="O35" s="64">
        <f>IF(N35&lt;=1,1,0)</f>
        <v>1</v>
      </c>
      <c r="P35" s="76"/>
      <c r="Q35" s="77">
        <f t="shared" si="2"/>
        <v>1</v>
      </c>
      <c r="R35" s="105">
        <v>0</v>
      </c>
      <c r="S35" s="62">
        <v>260141.27335</v>
      </c>
      <c r="T35" s="69">
        <v>125528.06177</v>
      </c>
      <c r="U35" s="70">
        <f t="shared" si="3"/>
        <v>0</v>
      </c>
      <c r="V35" s="64">
        <f>IF(U35&lt;=0.15,1,0)</f>
        <v>1</v>
      </c>
      <c r="W35" s="76"/>
      <c r="X35" s="77">
        <f t="shared" si="14"/>
        <v>1</v>
      </c>
      <c r="Y35" s="62">
        <v>2035.0619199999999</v>
      </c>
      <c r="Z35" s="72">
        <v>0</v>
      </c>
      <c r="AA35" s="72">
        <v>2035.0619199999999</v>
      </c>
      <c r="AB35" s="72">
        <v>0</v>
      </c>
      <c r="AC35" s="72">
        <f t="shared" si="5"/>
        <v>258106.21143</v>
      </c>
      <c r="AD35" s="72">
        <f t="shared" si="5"/>
        <v>197084.72475</v>
      </c>
      <c r="AE35" s="72">
        <f t="shared" si="5"/>
        <v>27150.98528</v>
      </c>
      <c r="AF35" s="72">
        <f t="shared" si="15"/>
        <v>33870.5014</v>
      </c>
      <c r="AG35" s="72">
        <f t="shared" si="37"/>
        <v>1693.5250700000001</v>
      </c>
      <c r="AH35" s="72">
        <f t="shared" si="26"/>
        <v>3728.58699</v>
      </c>
      <c r="AI35" s="109">
        <f t="shared" si="24"/>
        <v>0</v>
      </c>
      <c r="AJ35" s="75">
        <f>IF(AI35&lt;=0.105,1.5,0)</f>
        <v>1.5</v>
      </c>
      <c r="AK35" s="110"/>
      <c r="AL35" s="77">
        <f t="shared" si="9"/>
        <v>1.5</v>
      </c>
      <c r="AM35" s="78">
        <v>10088.1</v>
      </c>
      <c r="AN35" s="76">
        <v>11010.2</v>
      </c>
      <c r="AO35" s="107">
        <f t="shared" si="10"/>
        <v>0.9162503860057037</v>
      </c>
      <c r="AP35" s="80">
        <f>IF(AO35&lt;=1.005,1.5,0)</f>
        <v>1.5</v>
      </c>
      <c r="AQ35" s="110"/>
      <c r="AR35" s="111">
        <f t="shared" si="12"/>
        <v>1.5</v>
      </c>
      <c r="AS35" s="106">
        <f t="shared" si="16"/>
        <v>6</v>
      </c>
      <c r="AT35" s="102"/>
      <c r="AU35" s="83">
        <f t="shared" si="17"/>
        <v>0.7445242561699513</v>
      </c>
      <c r="AV35" s="7">
        <f t="shared" si="18"/>
        <v>0</v>
      </c>
      <c r="AW35" s="84">
        <f t="shared" si="19"/>
        <v>0</v>
      </c>
      <c r="AX35" s="84">
        <f t="shared" si="20"/>
        <v>0</v>
      </c>
      <c r="AY35" s="84">
        <f t="shared" si="21"/>
        <v>1</v>
      </c>
      <c r="AZ35" s="7">
        <f t="shared" si="22"/>
        <v>0</v>
      </c>
    </row>
    <row r="36" spans="1:52" s="9" customFormat="1" ht="12.75">
      <c r="A36" s="85" t="s">
        <v>91</v>
      </c>
      <c r="B36" s="86">
        <v>0</v>
      </c>
      <c r="C36" s="86">
        <v>1068.21</v>
      </c>
      <c r="D36" s="86">
        <v>0</v>
      </c>
      <c r="E36" s="87">
        <f t="shared" si="13"/>
        <v>0</v>
      </c>
      <c r="F36" s="88"/>
      <c r="G36" s="89">
        <f t="shared" si="32"/>
        <v>1</v>
      </c>
      <c r="H36" s="90">
        <f t="shared" si="0"/>
        <v>1</v>
      </c>
      <c r="I36" s="86">
        <v>0</v>
      </c>
      <c r="J36" s="91">
        <v>366832.18407</v>
      </c>
      <c r="K36" s="92">
        <v>259406.46213</v>
      </c>
      <c r="L36" s="86">
        <v>50128.094</v>
      </c>
      <c r="M36" s="86">
        <v>0</v>
      </c>
      <c r="N36" s="87">
        <f t="shared" si="23"/>
        <v>0</v>
      </c>
      <c r="O36" s="88"/>
      <c r="P36" s="89">
        <f t="shared" si="36"/>
        <v>1</v>
      </c>
      <c r="Q36" s="90">
        <f t="shared" si="2"/>
        <v>1</v>
      </c>
      <c r="R36" s="93">
        <v>0</v>
      </c>
      <c r="S36" s="86">
        <v>351207.74517</v>
      </c>
      <c r="T36" s="92">
        <v>172535.67088</v>
      </c>
      <c r="U36" s="87">
        <f t="shared" si="3"/>
        <v>0</v>
      </c>
      <c r="V36" s="88"/>
      <c r="W36" s="89">
        <f t="shared" si="33"/>
        <v>1</v>
      </c>
      <c r="X36" s="90">
        <f t="shared" si="14"/>
        <v>1</v>
      </c>
      <c r="Y36" s="86">
        <v>-15624.438900000001</v>
      </c>
      <c r="Z36" s="94">
        <v>0</v>
      </c>
      <c r="AA36" s="94">
        <v>-15624.438900000001</v>
      </c>
      <c r="AB36" s="94">
        <v>0</v>
      </c>
      <c r="AC36" s="94">
        <f t="shared" si="5"/>
        <v>366832.18407</v>
      </c>
      <c r="AD36" s="94">
        <f t="shared" si="5"/>
        <v>259406.46213</v>
      </c>
      <c r="AE36" s="94">
        <f t="shared" si="5"/>
        <v>50128.094</v>
      </c>
      <c r="AF36" s="94">
        <f t="shared" si="15"/>
        <v>57297.62794000002</v>
      </c>
      <c r="AG36" s="94">
        <f t="shared" si="37"/>
        <v>2864.881397000001</v>
      </c>
      <c r="AH36" s="94">
        <f t="shared" si="26"/>
        <v>2864.881397000001</v>
      </c>
      <c r="AI36" s="95">
        <f t="shared" si="24"/>
        <v>0</v>
      </c>
      <c r="AJ36" s="88"/>
      <c r="AK36" s="97">
        <f>IF(AI36&lt;=0.055,1.5,0)</f>
        <v>1.5</v>
      </c>
      <c r="AL36" s="90">
        <f t="shared" si="9"/>
        <v>1.5</v>
      </c>
      <c r="AM36" s="98">
        <v>12722.1</v>
      </c>
      <c r="AN36" s="89">
        <v>14564.8</v>
      </c>
      <c r="AO36" s="99">
        <f t="shared" si="10"/>
        <v>0.8734826430846975</v>
      </c>
      <c r="AP36" s="88"/>
      <c r="AQ36" s="97">
        <f t="shared" si="35"/>
        <v>1.5</v>
      </c>
      <c r="AR36" s="100">
        <f t="shared" si="12"/>
        <v>1.5</v>
      </c>
      <c r="AS36" s="101">
        <f t="shared" si="16"/>
        <v>6</v>
      </c>
      <c r="AU36" s="83">
        <f t="shared" si="17"/>
        <v>0.7051021297331804</v>
      </c>
      <c r="AV36" s="7">
        <f t="shared" si="18"/>
        <v>0</v>
      </c>
      <c r="AW36" s="84">
        <f t="shared" si="19"/>
        <v>0</v>
      </c>
      <c r="AX36" s="84">
        <f t="shared" si="20"/>
        <v>0</v>
      </c>
      <c r="AY36" s="84">
        <f t="shared" si="21"/>
        <v>1</v>
      </c>
      <c r="AZ36" s="7">
        <f t="shared" si="22"/>
        <v>0</v>
      </c>
    </row>
    <row r="37" spans="1:52" s="9" customFormat="1" ht="12.75">
      <c r="A37" s="85" t="s">
        <v>92</v>
      </c>
      <c r="B37" s="86">
        <v>0</v>
      </c>
      <c r="C37" s="86">
        <v>1999.23596</v>
      </c>
      <c r="D37" s="86">
        <v>0</v>
      </c>
      <c r="E37" s="87">
        <f t="shared" si="13"/>
        <v>0</v>
      </c>
      <c r="F37" s="88"/>
      <c r="G37" s="89">
        <f t="shared" si="32"/>
        <v>1</v>
      </c>
      <c r="H37" s="90">
        <f t="shared" si="0"/>
        <v>1</v>
      </c>
      <c r="I37" s="86">
        <v>0</v>
      </c>
      <c r="J37" s="91">
        <v>228557.09829</v>
      </c>
      <c r="K37" s="92">
        <v>165855.70678</v>
      </c>
      <c r="L37" s="86">
        <v>41864.54428</v>
      </c>
      <c r="M37" s="86">
        <v>0</v>
      </c>
      <c r="N37" s="87">
        <f t="shared" si="23"/>
        <v>0</v>
      </c>
      <c r="O37" s="88"/>
      <c r="P37" s="89">
        <f t="shared" si="36"/>
        <v>1</v>
      </c>
      <c r="Q37" s="90">
        <f t="shared" si="2"/>
        <v>1</v>
      </c>
      <c r="R37" s="93">
        <v>0</v>
      </c>
      <c r="S37" s="86">
        <v>225745.10901</v>
      </c>
      <c r="T37" s="92">
        <v>111826.40577</v>
      </c>
      <c r="U37" s="87">
        <f t="shared" si="3"/>
        <v>0</v>
      </c>
      <c r="V37" s="88"/>
      <c r="W37" s="89">
        <f t="shared" si="33"/>
        <v>1</v>
      </c>
      <c r="X37" s="90">
        <f t="shared" si="14"/>
        <v>1</v>
      </c>
      <c r="Y37" s="86">
        <v>-2811.98928</v>
      </c>
      <c r="Z37" s="94">
        <v>0</v>
      </c>
      <c r="AA37" s="94">
        <v>-2811.98928</v>
      </c>
      <c r="AB37" s="94">
        <v>0</v>
      </c>
      <c r="AC37" s="94">
        <f t="shared" si="5"/>
        <v>228557.09829</v>
      </c>
      <c r="AD37" s="94">
        <f t="shared" si="5"/>
        <v>165855.70678</v>
      </c>
      <c r="AE37" s="94">
        <f t="shared" si="5"/>
        <v>41864.54428</v>
      </c>
      <c r="AF37" s="94">
        <f t="shared" si="15"/>
        <v>20836.847229999985</v>
      </c>
      <c r="AG37" s="94">
        <f t="shared" si="37"/>
        <v>1041.8423614999992</v>
      </c>
      <c r="AH37" s="94">
        <f t="shared" si="26"/>
        <v>1041.8423614999992</v>
      </c>
      <c r="AI37" s="95">
        <f t="shared" si="24"/>
        <v>0</v>
      </c>
      <c r="AJ37" s="88"/>
      <c r="AK37" s="97">
        <f>IF(AI37&lt;=0.055,1.5,0)</f>
        <v>1.5</v>
      </c>
      <c r="AL37" s="90">
        <f t="shared" si="9"/>
        <v>1.5</v>
      </c>
      <c r="AM37" s="98">
        <v>10821.1</v>
      </c>
      <c r="AN37" s="89">
        <v>11135.1</v>
      </c>
      <c r="AO37" s="99">
        <f t="shared" si="10"/>
        <v>0.9718008818959866</v>
      </c>
      <c r="AP37" s="88"/>
      <c r="AQ37" s="97">
        <f t="shared" si="35"/>
        <v>1.5</v>
      </c>
      <c r="AR37" s="100">
        <f t="shared" si="12"/>
        <v>1.5</v>
      </c>
      <c r="AS37" s="101">
        <f t="shared" si="16"/>
        <v>6</v>
      </c>
      <c r="AU37" s="83">
        <f t="shared" si="17"/>
        <v>0.8214964138379466</v>
      </c>
      <c r="AV37" s="7">
        <f t="shared" si="18"/>
        <v>0</v>
      </c>
      <c r="AW37" s="84">
        <f t="shared" si="19"/>
        <v>0</v>
      </c>
      <c r="AX37" s="84">
        <f t="shared" si="20"/>
        <v>0</v>
      </c>
      <c r="AY37" s="84">
        <f t="shared" si="21"/>
        <v>1</v>
      </c>
      <c r="AZ37" s="7">
        <f t="shared" si="22"/>
        <v>0</v>
      </c>
    </row>
    <row r="38" spans="1:52" s="9" customFormat="1" ht="12.75">
      <c r="A38" s="85" t="s">
        <v>93</v>
      </c>
      <c r="B38" s="86">
        <v>0</v>
      </c>
      <c r="C38" s="86">
        <v>6083.72409</v>
      </c>
      <c r="D38" s="86">
        <v>0</v>
      </c>
      <c r="E38" s="87">
        <f t="shared" si="13"/>
        <v>0</v>
      </c>
      <c r="F38" s="88"/>
      <c r="G38" s="89">
        <f t="shared" si="32"/>
        <v>1</v>
      </c>
      <c r="H38" s="90">
        <f t="shared" si="0"/>
        <v>1</v>
      </c>
      <c r="I38" s="86">
        <v>0</v>
      </c>
      <c r="J38" s="91">
        <v>374843.25905</v>
      </c>
      <c r="K38" s="92">
        <v>274703.23234</v>
      </c>
      <c r="L38" s="86">
        <v>63031.15288</v>
      </c>
      <c r="M38" s="86">
        <v>0</v>
      </c>
      <c r="N38" s="87">
        <f t="shared" si="23"/>
        <v>0</v>
      </c>
      <c r="O38" s="88"/>
      <c r="P38" s="89">
        <f t="shared" si="36"/>
        <v>1</v>
      </c>
      <c r="Q38" s="90">
        <f t="shared" si="2"/>
        <v>1</v>
      </c>
      <c r="R38" s="93">
        <v>0</v>
      </c>
      <c r="S38" s="86">
        <v>380288.65516</v>
      </c>
      <c r="T38" s="92">
        <v>184996.59248</v>
      </c>
      <c r="U38" s="87">
        <f t="shared" si="3"/>
        <v>0</v>
      </c>
      <c r="V38" s="88"/>
      <c r="W38" s="89">
        <f t="shared" si="33"/>
        <v>1</v>
      </c>
      <c r="X38" s="90">
        <f t="shared" si="14"/>
        <v>1</v>
      </c>
      <c r="Y38" s="86">
        <v>5445.396110000001</v>
      </c>
      <c r="Z38" s="94">
        <v>0</v>
      </c>
      <c r="AA38" s="94">
        <v>5445.396110000001</v>
      </c>
      <c r="AB38" s="94">
        <v>0</v>
      </c>
      <c r="AC38" s="94">
        <f t="shared" si="5"/>
        <v>374843.25905</v>
      </c>
      <c r="AD38" s="94">
        <f t="shared" si="5"/>
        <v>274703.23234</v>
      </c>
      <c r="AE38" s="94">
        <f t="shared" si="5"/>
        <v>63031.15288</v>
      </c>
      <c r="AF38" s="94">
        <f t="shared" si="15"/>
        <v>37108.873830000004</v>
      </c>
      <c r="AG38" s="94">
        <f t="shared" si="37"/>
        <v>1855.4436915000003</v>
      </c>
      <c r="AH38" s="94">
        <f t="shared" si="26"/>
        <v>7300.839801500001</v>
      </c>
      <c r="AI38" s="95">
        <f t="shared" si="24"/>
        <v>0</v>
      </c>
      <c r="AJ38" s="88"/>
      <c r="AK38" s="97">
        <f>IF(AI38&lt;=0.055,1.5,0)</f>
        <v>1.5</v>
      </c>
      <c r="AL38" s="90">
        <f t="shared" si="9"/>
        <v>1.5</v>
      </c>
      <c r="AM38" s="98">
        <v>14455.4</v>
      </c>
      <c r="AN38" s="89">
        <v>15121.2</v>
      </c>
      <c r="AO38" s="99">
        <f t="shared" si="10"/>
        <v>0.9559691029812448</v>
      </c>
      <c r="AP38" s="88"/>
      <c r="AQ38" s="97">
        <f>IF(AO38&lt;=1.005,1.5,0)</f>
        <v>1.5</v>
      </c>
      <c r="AR38" s="100">
        <f t="shared" si="12"/>
        <v>1.5</v>
      </c>
      <c r="AS38" s="101">
        <f t="shared" si="16"/>
        <v>6</v>
      </c>
      <c r="AU38" s="83">
        <f t="shared" si="17"/>
        <v>0.804532391848359</v>
      </c>
      <c r="AV38" s="7">
        <f t="shared" si="18"/>
        <v>0</v>
      </c>
      <c r="AW38" s="84">
        <f t="shared" si="19"/>
        <v>0</v>
      </c>
      <c r="AX38" s="84">
        <f t="shared" si="20"/>
        <v>0</v>
      </c>
      <c r="AY38" s="84">
        <f t="shared" si="21"/>
        <v>1</v>
      </c>
      <c r="AZ38" s="7">
        <f t="shared" si="22"/>
        <v>0</v>
      </c>
    </row>
    <row r="39" spans="1:52" ht="12.75">
      <c r="A39" s="85" t="s">
        <v>94</v>
      </c>
      <c r="B39" s="86">
        <v>0</v>
      </c>
      <c r="C39" s="86">
        <v>1970.19</v>
      </c>
      <c r="D39" s="86">
        <v>720</v>
      </c>
      <c r="E39" s="87">
        <f t="shared" si="13"/>
        <v>0</v>
      </c>
      <c r="F39" s="88"/>
      <c r="G39" s="89">
        <f t="shared" si="32"/>
        <v>1</v>
      </c>
      <c r="H39" s="90">
        <f>F39+G39</f>
        <v>1</v>
      </c>
      <c r="I39" s="86">
        <v>4280</v>
      </c>
      <c r="J39" s="91">
        <v>541640.22391</v>
      </c>
      <c r="K39" s="92">
        <v>432604.18873</v>
      </c>
      <c r="L39" s="86">
        <v>62321.82364</v>
      </c>
      <c r="M39" s="86">
        <v>0</v>
      </c>
      <c r="N39" s="87">
        <f t="shared" si="23"/>
        <v>0.09162094058539696</v>
      </c>
      <c r="O39" s="88"/>
      <c r="P39" s="89">
        <f>IF(N39&lt;=0.5,1,0)</f>
        <v>1</v>
      </c>
      <c r="Q39" s="90">
        <f>O39+P39</f>
        <v>1</v>
      </c>
      <c r="R39" s="93">
        <v>421.5</v>
      </c>
      <c r="S39" s="86">
        <v>540479.2097799999</v>
      </c>
      <c r="T39" s="92">
        <v>201875.14095</v>
      </c>
      <c r="U39" s="87">
        <f t="shared" si="3"/>
        <v>0.0012448167012772046</v>
      </c>
      <c r="V39" s="88"/>
      <c r="W39" s="89">
        <f>IF(U39&lt;=0.15,1,0)</f>
        <v>1</v>
      </c>
      <c r="X39" s="90">
        <f t="shared" si="14"/>
        <v>1</v>
      </c>
      <c r="Y39" s="86">
        <v>-1161.0141299999998</v>
      </c>
      <c r="Z39" s="94">
        <v>0</v>
      </c>
      <c r="AA39" s="94">
        <v>-441.01413</v>
      </c>
      <c r="AB39" s="94">
        <v>0</v>
      </c>
      <c r="AC39" s="94">
        <f t="shared" si="5"/>
        <v>541640.22391</v>
      </c>
      <c r="AD39" s="94">
        <f t="shared" si="5"/>
        <v>432604.18873</v>
      </c>
      <c r="AE39" s="94">
        <f t="shared" si="5"/>
        <v>62321.82364</v>
      </c>
      <c r="AF39" s="94">
        <f t="shared" si="15"/>
        <v>46714.211539999946</v>
      </c>
      <c r="AG39" s="94">
        <f t="shared" si="37"/>
        <v>2335.7105769999976</v>
      </c>
      <c r="AH39" s="94">
        <f t="shared" si="26"/>
        <v>2335.7105769999976</v>
      </c>
      <c r="AI39" s="95">
        <f t="shared" si="24"/>
        <v>0</v>
      </c>
      <c r="AJ39" s="96"/>
      <c r="AK39" s="97">
        <f>IF(AI39&lt;=0.055,1.5,0)</f>
        <v>1.5</v>
      </c>
      <c r="AL39" s="90">
        <f t="shared" si="9"/>
        <v>1.5</v>
      </c>
      <c r="AM39" s="98">
        <v>16595.7</v>
      </c>
      <c r="AN39" s="89">
        <v>18162.7</v>
      </c>
      <c r="AO39" s="99">
        <f t="shared" si="10"/>
        <v>0.9137242810815572</v>
      </c>
      <c r="AP39" s="96"/>
      <c r="AQ39" s="97">
        <f>IF(AO39&lt;=1.005,1.5,0)</f>
        <v>1.5</v>
      </c>
      <c r="AR39" s="100">
        <f t="shared" si="12"/>
        <v>1.5</v>
      </c>
      <c r="AS39" s="101">
        <f t="shared" si="16"/>
        <v>6</v>
      </c>
      <c r="AT39" s="102"/>
      <c r="AU39" s="83">
        <f t="shared" si="17"/>
        <v>0.8625102640535327</v>
      </c>
      <c r="AV39" s="7">
        <f t="shared" si="18"/>
        <v>0</v>
      </c>
      <c r="AW39" s="84">
        <f t="shared" si="19"/>
        <v>0</v>
      </c>
      <c r="AX39" s="84">
        <f t="shared" si="20"/>
        <v>0</v>
      </c>
      <c r="AY39" s="84">
        <f t="shared" si="21"/>
        <v>1</v>
      </c>
      <c r="AZ39" s="7">
        <f t="shared" si="22"/>
        <v>0</v>
      </c>
    </row>
    <row r="40" spans="1:52" ht="12.75">
      <c r="A40" s="112" t="s">
        <v>95</v>
      </c>
      <c r="B40" s="113">
        <v>0</v>
      </c>
      <c r="C40" s="113">
        <v>5766</v>
      </c>
      <c r="D40" s="113">
        <v>1940</v>
      </c>
      <c r="E40" s="63">
        <f t="shared" si="13"/>
        <v>0</v>
      </c>
      <c r="F40" s="64">
        <f>IF(E40&lt;=1.05,1,0)</f>
        <v>1</v>
      </c>
      <c r="G40" s="65"/>
      <c r="H40" s="66">
        <f t="shared" si="0"/>
        <v>1</v>
      </c>
      <c r="I40" s="113">
        <v>0</v>
      </c>
      <c r="J40" s="114">
        <v>477614.75924</v>
      </c>
      <c r="K40" s="69">
        <v>319802.82136</v>
      </c>
      <c r="L40" s="113">
        <v>86582.14063</v>
      </c>
      <c r="M40" s="113">
        <v>0</v>
      </c>
      <c r="N40" s="63">
        <f t="shared" si="23"/>
        <v>0</v>
      </c>
      <c r="O40" s="64">
        <f>IF(N40&lt;=1,1,0)</f>
        <v>1</v>
      </c>
      <c r="P40" s="65"/>
      <c r="Q40" s="66">
        <f t="shared" si="2"/>
        <v>1</v>
      </c>
      <c r="R40" s="115">
        <v>43.298</v>
      </c>
      <c r="S40" s="113">
        <v>471108.44159</v>
      </c>
      <c r="T40" s="69">
        <v>246075.66888999997</v>
      </c>
      <c r="U40" s="63">
        <f t="shared" si="3"/>
        <v>0.00019240753015882826</v>
      </c>
      <c r="V40" s="64">
        <f>IF(U40&lt;=0.15,1,0)</f>
        <v>1</v>
      </c>
      <c r="W40" s="65"/>
      <c r="X40" s="66">
        <f t="shared" si="14"/>
        <v>1</v>
      </c>
      <c r="Y40" s="113">
        <v>-6506.31765</v>
      </c>
      <c r="Z40" s="73">
        <v>0</v>
      </c>
      <c r="AA40" s="73">
        <v>-4566.31765</v>
      </c>
      <c r="AB40" s="73">
        <v>0</v>
      </c>
      <c r="AC40" s="73">
        <f t="shared" si="5"/>
        <v>477614.75924</v>
      </c>
      <c r="AD40" s="73">
        <f t="shared" si="5"/>
        <v>319802.82136</v>
      </c>
      <c r="AE40" s="73">
        <f t="shared" si="5"/>
        <v>86582.14063</v>
      </c>
      <c r="AF40" s="73">
        <f t="shared" si="15"/>
        <v>71229.79724999999</v>
      </c>
      <c r="AG40" s="73">
        <f>AF40*10%</f>
        <v>7122.979724999999</v>
      </c>
      <c r="AH40" s="73">
        <f t="shared" si="26"/>
        <v>7122.979724999999</v>
      </c>
      <c r="AI40" s="74">
        <f t="shared" si="24"/>
        <v>0</v>
      </c>
      <c r="AJ40" s="80">
        <f>IF(AI40&lt;=0.105,1.5,0)</f>
        <v>1.5</v>
      </c>
      <c r="AK40" s="65"/>
      <c r="AL40" s="66">
        <f t="shared" si="9"/>
        <v>1.5</v>
      </c>
      <c r="AM40" s="116">
        <v>17893.2</v>
      </c>
      <c r="AN40" s="65">
        <v>19829.5</v>
      </c>
      <c r="AO40" s="79">
        <f t="shared" si="10"/>
        <v>0.902352555535944</v>
      </c>
      <c r="AP40" s="80">
        <f>IF(AO40&lt;=1.005,1.5,0)</f>
        <v>1.5</v>
      </c>
      <c r="AQ40" s="65"/>
      <c r="AR40" s="81">
        <f t="shared" si="12"/>
        <v>1.5</v>
      </c>
      <c r="AS40" s="82">
        <f t="shared" si="16"/>
        <v>6</v>
      </c>
      <c r="AU40" s="83">
        <f t="shared" si="17"/>
        <v>0.6923638373877717</v>
      </c>
      <c r="AV40" s="7">
        <f t="shared" si="18"/>
        <v>0</v>
      </c>
      <c r="AW40" s="84">
        <f t="shared" si="19"/>
        <v>0</v>
      </c>
      <c r="AX40" s="84">
        <f t="shared" si="20"/>
        <v>1</v>
      </c>
      <c r="AY40" s="84">
        <f t="shared" si="21"/>
        <v>0</v>
      </c>
      <c r="AZ40" s="7">
        <f t="shared" si="22"/>
        <v>0</v>
      </c>
    </row>
    <row r="41" spans="1:52" ht="12.75">
      <c r="A41" s="103" t="s">
        <v>96</v>
      </c>
      <c r="B41" s="113">
        <v>35400</v>
      </c>
      <c r="C41" s="113">
        <v>5353.014480000001</v>
      </c>
      <c r="D41" s="113">
        <v>34400</v>
      </c>
      <c r="E41" s="70">
        <f t="shared" si="13"/>
        <v>0.8904985059135572</v>
      </c>
      <c r="F41" s="64">
        <f>IF(E41&lt;=1.05,1,0)</f>
        <v>1</v>
      </c>
      <c r="G41" s="65"/>
      <c r="H41" s="66">
        <f t="shared" si="0"/>
        <v>1</v>
      </c>
      <c r="I41" s="113">
        <v>35400</v>
      </c>
      <c r="J41" s="114">
        <v>185776.42658</v>
      </c>
      <c r="K41" s="69">
        <v>105926.45401999999</v>
      </c>
      <c r="L41" s="113">
        <v>33483.55712</v>
      </c>
      <c r="M41" s="113">
        <v>9913</v>
      </c>
      <c r="N41" s="70">
        <f t="shared" si="23"/>
        <v>0.5496866591505482</v>
      </c>
      <c r="O41" s="64">
        <f>IF(N41&lt;=1,1,0)</f>
        <v>1</v>
      </c>
      <c r="P41" s="65"/>
      <c r="Q41" s="66">
        <f t="shared" si="2"/>
        <v>1</v>
      </c>
      <c r="R41" s="115">
        <v>3169.7</v>
      </c>
      <c r="S41" s="113">
        <v>189645.77792</v>
      </c>
      <c r="T41" s="69">
        <v>65296.67086</v>
      </c>
      <c r="U41" s="63">
        <f t="shared" si="3"/>
        <v>0.025490331816139057</v>
      </c>
      <c r="V41" s="64">
        <f>IF(U41&lt;=0.15,1,0)</f>
        <v>1</v>
      </c>
      <c r="W41" s="65"/>
      <c r="X41" s="66">
        <f t="shared" si="14"/>
        <v>1</v>
      </c>
      <c r="Y41" s="113">
        <v>3869.3513399999997</v>
      </c>
      <c r="Z41" s="73">
        <v>0</v>
      </c>
      <c r="AA41" s="73">
        <v>2869.3513399999997</v>
      </c>
      <c r="AB41" s="73">
        <v>9913</v>
      </c>
      <c r="AC41" s="73">
        <f t="shared" si="5"/>
        <v>185776.42658</v>
      </c>
      <c r="AD41" s="73">
        <f t="shared" si="5"/>
        <v>105926.45401999999</v>
      </c>
      <c r="AE41" s="73">
        <f t="shared" si="5"/>
        <v>33483.55712</v>
      </c>
      <c r="AF41" s="73">
        <f t="shared" si="15"/>
        <v>46366.41544000001</v>
      </c>
      <c r="AG41" s="73">
        <f>AF41*10%</f>
        <v>4636.641544000001</v>
      </c>
      <c r="AH41" s="73">
        <f t="shared" si="26"/>
        <v>17418.992884</v>
      </c>
      <c r="AI41" s="117">
        <f t="shared" si="24"/>
        <v>0</v>
      </c>
      <c r="AJ41" s="80">
        <f>IF(AI41&lt;=0.105,1.5,0)</f>
        <v>1.5</v>
      </c>
      <c r="AK41" s="65"/>
      <c r="AL41" s="66">
        <f t="shared" si="9"/>
        <v>1.5</v>
      </c>
      <c r="AM41" s="116">
        <v>8428.7</v>
      </c>
      <c r="AN41" s="65">
        <v>9378.4</v>
      </c>
      <c r="AO41" s="79">
        <f t="shared" si="10"/>
        <v>0.8987353919645144</v>
      </c>
      <c r="AP41" s="80">
        <f>IF(AO41&lt;=1.005,1.5,0)</f>
        <v>1.5</v>
      </c>
      <c r="AQ41" s="65"/>
      <c r="AR41" s="81">
        <f t="shared" si="12"/>
        <v>1.5</v>
      </c>
      <c r="AS41" s="118">
        <f t="shared" si="16"/>
        <v>6</v>
      </c>
      <c r="AU41" s="83">
        <f t="shared" si="17"/>
        <v>0.6151518139880903</v>
      </c>
      <c r="AV41" s="7">
        <f t="shared" si="18"/>
        <v>0</v>
      </c>
      <c r="AW41" s="84">
        <f t="shared" si="19"/>
        <v>0</v>
      </c>
      <c r="AX41" s="84">
        <f t="shared" si="20"/>
        <v>1</v>
      </c>
      <c r="AY41" s="84">
        <f t="shared" si="21"/>
        <v>0</v>
      </c>
      <c r="AZ41" s="7">
        <f t="shared" si="22"/>
        <v>0</v>
      </c>
    </row>
    <row r="42" spans="1:52" ht="13.5" thickBot="1">
      <c r="A42" s="103" t="s">
        <v>97</v>
      </c>
      <c r="B42" s="113">
        <v>10927.18</v>
      </c>
      <c r="C42" s="113">
        <v>22362.66389</v>
      </c>
      <c r="D42" s="113">
        <v>9990</v>
      </c>
      <c r="E42" s="63">
        <f t="shared" si="13"/>
        <v>0.33775209476266715</v>
      </c>
      <c r="F42" s="64">
        <f>IF(E42&lt;=1.05,1,0)</f>
        <v>1</v>
      </c>
      <c r="G42" s="65"/>
      <c r="H42" s="66">
        <f t="shared" si="0"/>
        <v>1</v>
      </c>
      <c r="I42" s="113">
        <v>30427.2</v>
      </c>
      <c r="J42" s="114">
        <v>253386.17713</v>
      </c>
      <c r="K42" s="69">
        <v>143996.90979</v>
      </c>
      <c r="L42" s="113">
        <v>39753.130520000006</v>
      </c>
      <c r="M42" s="113">
        <v>2927.2</v>
      </c>
      <c r="N42" s="63">
        <f>(I42-M42)/(J42-K42-L42)</f>
        <v>0.39490990247037666</v>
      </c>
      <c r="O42" s="64">
        <f>IF(N42&lt;=1,1,0)</f>
        <v>1</v>
      </c>
      <c r="P42" s="65"/>
      <c r="Q42" s="66">
        <f t="shared" si="2"/>
        <v>1</v>
      </c>
      <c r="R42" s="119">
        <v>2927.2</v>
      </c>
      <c r="S42" s="113">
        <v>272729.61650999996</v>
      </c>
      <c r="T42" s="69">
        <v>104057.71811</v>
      </c>
      <c r="U42" s="63">
        <f t="shared" si="3"/>
        <v>0.017354402409453174</v>
      </c>
      <c r="V42" s="64">
        <f>IF(U42&lt;=0.15,1,0)</f>
        <v>1</v>
      </c>
      <c r="W42" s="65"/>
      <c r="X42" s="66">
        <f t="shared" si="14"/>
        <v>1</v>
      </c>
      <c r="Y42" s="113">
        <v>19343.43938</v>
      </c>
      <c r="Z42" s="73">
        <v>0</v>
      </c>
      <c r="AA42" s="73">
        <v>18406.25938</v>
      </c>
      <c r="AB42" s="73">
        <v>0</v>
      </c>
      <c r="AC42" s="73">
        <f t="shared" si="5"/>
        <v>253386.17713</v>
      </c>
      <c r="AD42" s="73">
        <f t="shared" si="5"/>
        <v>143996.90979</v>
      </c>
      <c r="AE42" s="73">
        <f t="shared" si="5"/>
        <v>39753.130520000006</v>
      </c>
      <c r="AF42" s="73">
        <f t="shared" si="15"/>
        <v>69636.13681999999</v>
      </c>
      <c r="AG42" s="73">
        <f>AF42*10%</f>
        <v>6963.613681999999</v>
      </c>
      <c r="AH42" s="73">
        <f t="shared" si="26"/>
        <v>25369.873062</v>
      </c>
      <c r="AI42" s="109">
        <f t="shared" si="24"/>
        <v>0.013458242268988644</v>
      </c>
      <c r="AJ42" s="80">
        <f>IF(AI42&lt;=0.105,1.5,0)</f>
        <v>1.5</v>
      </c>
      <c r="AK42" s="65"/>
      <c r="AL42" s="66">
        <f t="shared" si="9"/>
        <v>1.5</v>
      </c>
      <c r="AM42" s="116">
        <v>6938</v>
      </c>
      <c r="AN42" s="65">
        <v>7715.6</v>
      </c>
      <c r="AO42" s="79">
        <f t="shared" si="10"/>
        <v>0.8992171704080045</v>
      </c>
      <c r="AP42" s="80">
        <f>IF(AO42&lt;=1.005,1.5,0)</f>
        <v>1.5</v>
      </c>
      <c r="AQ42" s="65"/>
      <c r="AR42" s="81">
        <f t="shared" si="12"/>
        <v>1.5</v>
      </c>
      <c r="AS42" s="106">
        <f t="shared" si="16"/>
        <v>6</v>
      </c>
      <c r="AU42" s="83">
        <f t="shared" si="17"/>
        <v>0.5336713625989175</v>
      </c>
      <c r="AV42" s="7">
        <f t="shared" si="18"/>
        <v>0</v>
      </c>
      <c r="AW42" s="84">
        <f t="shared" si="19"/>
        <v>0</v>
      </c>
      <c r="AX42" s="84">
        <f t="shared" si="20"/>
        <v>1</v>
      </c>
      <c r="AY42" s="84">
        <f t="shared" si="21"/>
        <v>0</v>
      </c>
      <c r="AZ42" s="7">
        <f t="shared" si="22"/>
        <v>0</v>
      </c>
    </row>
    <row r="43" spans="1:52" ht="14.25" thickBot="1" thickTop="1">
      <c r="A43" s="120" t="s">
        <v>98</v>
      </c>
      <c r="B43" s="121">
        <f>SUM(B10:B42)</f>
        <v>2360457.46582</v>
      </c>
      <c r="C43" s="121">
        <f>SUM(C10:C42)</f>
        <v>685348.9106299997</v>
      </c>
      <c r="D43" s="121">
        <f>SUM(D10:D42)</f>
        <v>2107351.11677</v>
      </c>
      <c r="E43" s="122"/>
      <c r="F43" s="122"/>
      <c r="G43" s="122"/>
      <c r="H43" s="123"/>
      <c r="I43" s="122">
        <f>SUM(I10:I42)</f>
        <v>2495007.3000000003</v>
      </c>
      <c r="J43" s="122">
        <f>SUM(J10:J42)</f>
        <v>18211107.250719998</v>
      </c>
      <c r="K43" s="122">
        <f>SUM(K10:K42)</f>
        <v>12070370.291969998</v>
      </c>
      <c r="L43" s="122">
        <f>SUM(L10:L42)</f>
        <v>1889008.8256100002</v>
      </c>
      <c r="M43" s="122">
        <f>SUM(M10:M42)</f>
        <v>51389.2</v>
      </c>
      <c r="N43" s="122"/>
      <c r="O43" s="122"/>
      <c r="P43" s="122"/>
      <c r="Q43" s="123"/>
      <c r="R43" s="124">
        <f>SUM(R10:R42)</f>
        <v>280379.798</v>
      </c>
      <c r="S43" s="122">
        <f>SUM(S10:S42)</f>
        <v>18618191.931270003</v>
      </c>
      <c r="T43" s="122">
        <f>SUM(T10:T42)</f>
        <v>7756042.7135</v>
      </c>
      <c r="U43" s="122"/>
      <c r="V43" s="122"/>
      <c r="W43" s="122"/>
      <c r="X43" s="123"/>
      <c r="Y43" s="125">
        <f aca="true" t="shared" si="38" ref="Y43:AE43">SUM(Y10:Y42)</f>
        <v>407084.68055</v>
      </c>
      <c r="Z43" s="126">
        <f t="shared" si="38"/>
        <v>17220</v>
      </c>
      <c r="AA43" s="126">
        <f t="shared" si="38"/>
        <v>165442.06454999995</v>
      </c>
      <c r="AB43" s="126">
        <v>2927.18</v>
      </c>
      <c r="AC43" s="126">
        <f t="shared" si="38"/>
        <v>18211107.250719998</v>
      </c>
      <c r="AD43" s="126">
        <f t="shared" si="38"/>
        <v>12070370.291969998</v>
      </c>
      <c r="AE43" s="126">
        <f t="shared" si="38"/>
        <v>1889008.8256100002</v>
      </c>
      <c r="AF43" s="125"/>
      <c r="AG43" s="125"/>
      <c r="AH43" s="125"/>
      <c r="AI43" s="122"/>
      <c r="AJ43" s="122"/>
      <c r="AK43" s="122"/>
      <c r="AL43" s="122"/>
      <c r="AM43" s="126">
        <f>SUM(AM10:AM42)</f>
        <v>669331.7</v>
      </c>
      <c r="AN43" s="126">
        <f>SUM(AN10:AN42)</f>
        <v>727847.6</v>
      </c>
      <c r="AO43" s="122"/>
      <c r="AP43" s="122"/>
      <c r="AQ43" s="122"/>
      <c r="AR43" s="122"/>
      <c r="AS43" s="127"/>
      <c r="AU43" s="128"/>
      <c r="AV43" s="129">
        <f>SUM(AV10:AV42)</f>
        <v>0</v>
      </c>
      <c r="AW43" s="129">
        <f>SUM(AW10:AW42)</f>
        <v>0</v>
      </c>
      <c r="AX43" s="129">
        <f>SUM(AX10:AX42)</f>
        <v>7</v>
      </c>
      <c r="AY43" s="129">
        <f>SUM(AY10:AY42)</f>
        <v>25</v>
      </c>
      <c r="AZ43" s="129">
        <f>SUM(AZ10:AZ42)</f>
        <v>1</v>
      </c>
    </row>
    <row r="44" spans="47:52" ht="13.5" thickTop="1">
      <c r="AU44" s="7" t="s">
        <v>99</v>
      </c>
      <c r="AV44" s="7">
        <f>AV10+AV12+AV13+AV14+AV41+AV42</f>
        <v>0</v>
      </c>
      <c r="AW44" s="7">
        <f>AW10+AW12+AW13+AW14+AW41+AW42</f>
        <v>0</v>
      </c>
      <c r="AX44" s="7">
        <f>AX10+AX12+AX13+AX14+AX41+AX42</f>
        <v>6</v>
      </c>
      <c r="AY44" s="7">
        <f>AY10+AY12+AY13+AY14+AY41+AY42</f>
        <v>0</v>
      </c>
      <c r="AZ44" s="7">
        <f>AZ10+AZ12+AZ13+AZ14+AZ41+AZ42</f>
        <v>0</v>
      </c>
    </row>
    <row r="45" spans="12:52" ht="12.75">
      <c r="L45" s="10"/>
      <c r="AU45" s="7" t="s">
        <v>100</v>
      </c>
      <c r="AV45" s="7">
        <f>AV43-AV44</f>
        <v>0</v>
      </c>
      <c r="AW45" s="7">
        <f>AW43-AW44</f>
        <v>0</v>
      </c>
      <c r="AX45" s="7">
        <f>AX43-AX44</f>
        <v>1</v>
      </c>
      <c r="AY45" s="7">
        <f>AY43-AY44</f>
        <v>25</v>
      </c>
      <c r="AZ45" s="7">
        <f>AZ43-AZ44</f>
        <v>1</v>
      </c>
    </row>
  </sheetData>
  <sheetProtection/>
  <mergeCells count="12">
    <mergeCell ref="AM4:AR4"/>
    <mergeCell ref="B5:D5"/>
    <mergeCell ref="I5:K5"/>
    <mergeCell ref="R5:T5"/>
    <mergeCell ref="Y5:AA5"/>
    <mergeCell ref="AM5:AN5"/>
    <mergeCell ref="B1:H3"/>
    <mergeCell ref="A4:A7"/>
    <mergeCell ref="B4:H4"/>
    <mergeCell ref="I4:Q4"/>
    <mergeCell ref="R4:X4"/>
    <mergeCell ref="Y4:AL4"/>
  </mergeCells>
  <printOptions/>
  <pageMargins left="0.1968503937007874" right="0.1968503937007874" top="0.35433070866141736" bottom="0.2755905511811024" header="0.31496062992125984" footer="0.31496062992125984"/>
  <pageSetup fitToWidth="0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2016-01-27T13:49:07Z</dcterms:created>
  <dcterms:modified xsi:type="dcterms:W3CDTF">2016-01-27T13:51:30Z</dcterms:modified>
  <cp:category/>
  <cp:version/>
  <cp:contentType/>
  <cp:contentStatus/>
</cp:coreProperties>
</file>