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2" windowWidth="18192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'Лист1'!$A:$B,'Лист1'!$2:$6</definedName>
    <definedName name="_xlnm.Print_Area" localSheetId="0">'Лист1'!$A$1:$CG$39</definedName>
  </definedNames>
  <calcPr fullCalcOnLoad="1"/>
</workbook>
</file>

<file path=xl/comments1.xml><?xml version="1.0" encoding="utf-8"?>
<comments xmlns="http://schemas.openxmlformats.org/spreadsheetml/2006/main">
  <authors>
    <author>Хохлова Н.В.</author>
  </authors>
  <commentList>
    <comment ref="BV14" authorId="0">
      <text>
        <r>
          <rPr>
            <b/>
            <sz val="9"/>
            <rFont val="Tahoma"/>
            <family val="0"/>
          </rPr>
          <t>Хохлова Н.В.:</t>
        </r>
        <r>
          <rPr>
            <sz val="9"/>
            <rFont val="Tahoma"/>
            <family val="0"/>
          </rPr>
          <t xml:space="preserve">
нет постановления за 9 месяцев</t>
        </r>
      </text>
    </comment>
    <comment ref="BV28" authorId="0">
      <text>
        <r>
          <rPr>
            <b/>
            <sz val="9"/>
            <rFont val="Tahoma"/>
            <family val="0"/>
          </rPr>
          <t>Хохлова Н.В.:</t>
        </r>
        <r>
          <rPr>
            <sz val="9"/>
            <rFont val="Tahoma"/>
            <family val="0"/>
          </rPr>
          <t xml:space="preserve">
проект за 1квартал</t>
        </r>
      </text>
    </comment>
  </commentList>
</comments>
</file>

<file path=xl/sharedStrings.xml><?xml version="1.0" encoding="utf-8"?>
<sst xmlns="http://schemas.openxmlformats.org/spreadsheetml/2006/main" count="595" uniqueCount="191">
  <si>
    <t>Удельный вес расходов местных бюджетов, формируемых в рамках программ, в общем объеме расходов местных бюджетов</t>
  </si>
  <si>
    <t>Количество изменений, внесенных в решение о бюджете за отчетный год</t>
  </si>
  <si>
    <t>Исполнение бюджета муниципального образования по доходам без учета безвозмездных поступлений к первоначально утвержденному плану</t>
  </si>
  <si>
    <t>Доля муниципальных образований, на территории которых введено самообложение граждан, к их общему количеству</t>
  </si>
  <si>
    <t>Степень достижения муниципальным образованием максимального количества баллов, набранных в ходе проведения мониторинга и составления рейтинга муниципальных образований по уровню открытости бюджетных данных</t>
  </si>
  <si>
    <t>Выполнение минимальных требований к составу годовой финансовой отчетности</t>
  </si>
  <si>
    <t xml:space="preserve">Наличие результатов оценки качества финансового менеджмента главных распорядителей средств бюджета муниципального образования и формирование их ежегодного рейтинга на основе методики, утвержденной правовым актом муниципального образования    </t>
  </si>
  <si>
    <t xml:space="preserve">Доля объема взысканных средств из бюджета муниципального образования в связи с выявлением факта нарушения условий предоставления (расходования) и (или) нецелевого использования межбюджетных трансфертов в общем объеме указанных межбюджетных трансфертов    </t>
  </si>
  <si>
    <t>Размещение на официальных сайтах органов местного самоуправление информации об исполнении бюджета муниципального образования за отчетный год (ежемесячной, ежеквартальной, годовой)</t>
  </si>
  <si>
    <t>Всего баллов</t>
  </si>
  <si>
    <t>Балльная оценка показателя PK1.1</t>
  </si>
  <si>
    <t>Общий объем расходов местного бюджета</t>
  </si>
  <si>
    <t>Процент исполнения местного бюджета по налоговым и неналоговым доходам</t>
  </si>
  <si>
    <t>Объем доходов бюджета муниципального образования без учета безвозмездных поступлений в отчетном финансовом году</t>
  </si>
  <si>
    <t>Первоначально утвержденный решением о бюджете муниципального образования объем доходов без учета безвозмездных поступлений</t>
  </si>
  <si>
    <t>Количество муниципальных образований, на территории которых введено самообложение граждан</t>
  </si>
  <si>
    <t xml:space="preserve">Количество муниципальных образований на соответствующей территории, где возможно самообложение граждан  </t>
  </si>
  <si>
    <t xml:space="preserve">Количество баллов, набранных муниципальным образованием в ходе проведения мониторинга и составления рейтинга муниципальных образований по уровню открытости бюджетных данных за отчетный финансовый год </t>
  </si>
  <si>
    <t>Максимально возможное количество баллов муниципального образования по методике проведения мониторинга и составления рейтинга муниципальных образований по уровню открытости бюджетных данных за отчетный финансовый год</t>
  </si>
  <si>
    <t>Качество предоставления годовой финансовой отчетности</t>
  </si>
  <si>
    <t>Своевременность предоставления годовой финансовой отчетности</t>
  </si>
  <si>
    <t>Размещение на официальных сайтах органов местного самоуправление информации об исполнении бюджета муниципального образования (ежемесячной информации)</t>
  </si>
  <si>
    <t>Размещение на официальных сайтах органов местного самоуправление информации об исполнении бюджета муниципального образования (ежеквартальной информации)</t>
  </si>
  <si>
    <t>Размещение на официальных сайтах органов местного самоуправление информации об исполнении бюджета муниципального образования (годовой информации)</t>
  </si>
  <si>
    <t>да</t>
  </si>
  <si>
    <t>≥100%</t>
  </si>
  <si>
    <t>≤4</t>
  </si>
  <si>
    <t>≤10%</t>
  </si>
  <si>
    <t xml:space="preserve">100% - ср.знач.- 1, ≥ ср. знач. - 1,5 </t>
  </si>
  <si>
    <t>Единицы измерения</t>
  </si>
  <si>
    <t>балл</t>
  </si>
  <si>
    <t>рублей</t>
  </si>
  <si>
    <t>%</t>
  </si>
  <si>
    <t>единиц</t>
  </si>
  <si>
    <t>ИТОГО</t>
  </si>
  <si>
    <t>-</t>
  </si>
  <si>
    <t xml:space="preserve">                          -</t>
  </si>
  <si>
    <t xml:space="preserve">                           -</t>
  </si>
  <si>
    <t xml:space="preserve">                 -</t>
  </si>
  <si>
    <t xml:space="preserve">                -</t>
  </si>
  <si>
    <t xml:space="preserve">                        -</t>
  </si>
  <si>
    <t xml:space="preserve">                                 -</t>
  </si>
  <si>
    <t xml:space="preserve">                     -</t>
  </si>
  <si>
    <t>PK1.1</t>
  </si>
  <si>
    <t xml:space="preserve">90% - 95% - 1 ,         ≥ 95% - 1,5 </t>
  </si>
  <si>
    <t>PК1.2</t>
  </si>
  <si>
    <t>Балльная оценка показателя PK1.2</t>
  </si>
  <si>
    <t>PК1.3</t>
  </si>
  <si>
    <t>Балльная оценка показателя PK1.3</t>
  </si>
  <si>
    <t>PК1.4</t>
  </si>
  <si>
    <t>Балльная оценка показателя PK1.4</t>
  </si>
  <si>
    <t>PК1.5</t>
  </si>
  <si>
    <t>Балльная оценка показателя PK1.5</t>
  </si>
  <si>
    <t>PК1.6</t>
  </si>
  <si>
    <t>Количество муниципальных образований на соответствующей территории</t>
  </si>
  <si>
    <t>Балльная оценка показателя PK1.6</t>
  </si>
  <si>
    <t>80% - 90% - 1 ,         ≥ 90% - 2</t>
  </si>
  <si>
    <t>PК1.7</t>
  </si>
  <si>
    <t>Балльная оценка показателя PK1.7</t>
  </si>
  <si>
    <t>PК1.8</t>
  </si>
  <si>
    <t>Балльная оценка показателя PK1.8</t>
  </si>
  <si>
    <t>Объем зарезервированных средств в первоначальной редакции расходов бюджета муниципального образования</t>
  </si>
  <si>
    <t>Объем расходов местного бюджета в первоначальной редакции расходов бюджета муниципального образования</t>
  </si>
  <si>
    <t>&gt;1%</t>
  </si>
  <si>
    <t>Доля неиспользованных на конец отчетного финансового года бюджетных ассигнований</t>
  </si>
  <si>
    <t>PК1.9</t>
  </si>
  <si>
    <t>Балльная оценка показателя PK1.9</t>
  </si>
  <si>
    <t>Общий объем бюджетных ассигнований за отчетный финансовый год</t>
  </si>
  <si>
    <t>Обеспечение достижения целевых значений показателей результативности  использования субсидий, предоставленных из областного бюджета бюджету муниципального образования</t>
  </si>
  <si>
    <t>PК1.10</t>
  </si>
  <si>
    <t>Балльная оценка показателя PK1.10</t>
  </si>
  <si>
    <t>PК2.1</t>
  </si>
  <si>
    <t>PК2.2</t>
  </si>
  <si>
    <t>Балльная оценка показателя PK2.2</t>
  </si>
  <si>
    <t>&lt;100%</t>
  </si>
  <si>
    <t>PК2.3</t>
  </si>
  <si>
    <t>Балльная оценка показателя PK2.3</t>
  </si>
  <si>
    <t>PК2.4</t>
  </si>
  <si>
    <t>Балльная оценка показателя PK2.4</t>
  </si>
  <si>
    <t>PК2.5</t>
  </si>
  <si>
    <t>Балльная оценка показателя PK2.5</t>
  </si>
  <si>
    <t>PК2.6</t>
  </si>
  <si>
    <t>Балльная оценка показателя PK2.6</t>
  </si>
  <si>
    <t>PК2.7</t>
  </si>
  <si>
    <t>Балльная оценка показателя PK2.7</t>
  </si>
  <si>
    <t>PK2.9</t>
  </si>
  <si>
    <t xml:space="preserve">Темп роста поступлений средств от приносящей доход деятельности муниципальных бюджетных и автономных учреждений </t>
  </si>
  <si>
    <t>Балльная оценка показателя PK2.9</t>
  </si>
  <si>
    <t>&gt;100%</t>
  </si>
  <si>
    <t>Балльная оценка показателя PK2.1</t>
  </si>
  <si>
    <t>Балльная оценка показателя PK2.8</t>
  </si>
  <si>
    <t>PK2.8</t>
  </si>
  <si>
    <t>PK3.1</t>
  </si>
  <si>
    <t>Балльная оценка показателя PK3.1</t>
  </si>
  <si>
    <t>PK3.2</t>
  </si>
  <si>
    <t>Балльная оценка показателя PK3.2</t>
  </si>
  <si>
    <t>PK3.3</t>
  </si>
  <si>
    <t>Балльная оценка показателя PK3.3</t>
  </si>
  <si>
    <t>PK3.4</t>
  </si>
  <si>
    <t>Балльная оценка показателя PK3.4</t>
  </si>
  <si>
    <t>Удельный вес зарезервированных средств бюджета муниципального образования в объеме расходов бюджета муниципального образования</t>
  </si>
  <si>
    <t>&lt;110%</t>
  </si>
  <si>
    <t>Количество муниципальных образований на соответствующей территории, которым предоставлены межбюджетные трансферты на поддержку местных инициатив из областного бюджета</t>
  </si>
  <si>
    <t>Доля муниципальных образований на соответствующей территории, которым предоставлены межбюджетные трансферты на поддержку местных инициатив из областного бюджета</t>
  </si>
  <si>
    <t>нет</t>
  </si>
  <si>
    <t>проект</t>
  </si>
  <si>
    <t xml:space="preserve">Городской округ город Брянск 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</si>
  <si>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</si>
  <si>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</si>
  <si>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</si>
  <si>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Стародуб</t>
  </si>
  <si>
    <t>Городской округ город Фокино</t>
  </si>
  <si>
    <t>Брасовский муниципальный  район</t>
  </si>
  <si>
    <t>Брянский  муниципальный район</t>
  </si>
  <si>
    <t>Выгоничский муниципальный район</t>
  </si>
  <si>
    <t>Гордеевский  муниципальный район</t>
  </si>
  <si>
    <t>Дубровский  муниципальный район</t>
  </si>
  <si>
    <t>Дятьковский  муниципальный район</t>
  </si>
  <si>
    <t>Жирятинский  муниципальный район</t>
  </si>
  <si>
    <t>Жуковский муниципальный район</t>
  </si>
  <si>
    <t>Злынковский  муниципальный район</t>
  </si>
  <si>
    <t>Карачевский  муниципальный район</t>
  </si>
  <si>
    <t>Клетнянский  муниципальный район</t>
  </si>
  <si>
    <t>Климовский  муниципальный район</t>
  </si>
  <si>
    <t>Клинцовский  муниципальный район</t>
  </si>
  <si>
    <t>Комаричский  муниципальный район</t>
  </si>
  <si>
    <t>Красногорский  муниципальный район</t>
  </si>
  <si>
    <t>Мглинский  муниципальный район</t>
  </si>
  <si>
    <t>Навлинский  муниципальный район</t>
  </si>
  <si>
    <t>Погарский муниципальный район</t>
  </si>
  <si>
    <t>Почепский  муниципальный район</t>
  </si>
  <si>
    <t>Рогнединский  муниципальный район</t>
  </si>
  <si>
    <t>Севский муниципальный район</t>
  </si>
  <si>
    <t>Стародубский  муниципальный район</t>
  </si>
  <si>
    <t>Суземский  муниципальный район</t>
  </si>
  <si>
    <t>Суражский муниципальный район</t>
  </si>
  <si>
    <t>Трубчевский  муниципальный район</t>
  </si>
  <si>
    <t>Унечский муниципальный район</t>
  </si>
  <si>
    <t>Отклонение объема расходов бюджета муниципального образования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их областного бюджета)</t>
  </si>
  <si>
    <t>Объём налоговых и неналоговых доходов местного бюджета (фактическое исполнение) в отчетном финансовом году</t>
  </si>
  <si>
    <t>Объем налоговых и неналоговых доходов местного бюджета (уточненный план) в отчетном финансовом году</t>
  </si>
  <si>
    <t>Удельный вес зарезервированных средств бюджета муниципального образования в объёме расходов бюджета муниципального образования</t>
  </si>
  <si>
    <t>Объем неисполненных на конец отчётного года бюджетных ассигнований</t>
  </si>
  <si>
    <t>Размещение на официальных сайтах органов местного самоуправления решений о бюджете на соответствующий год и на плановый период, а так же решений о внесении изменений в решение о бюджете на отчетный год и на плановый период</t>
  </si>
  <si>
    <t>Размещение на официальных сайтах органов местного самоуправления расчетов распределения дотаций на выравнивание бюджетной обеспеченности поселений, предусмотренных решением о местном бюджете на соответствующий финансовый год и на плановый период</t>
  </si>
  <si>
    <t>Размещение на официальных сайтах органов местного самоуправления правовых актов финансового органа, документов и материалов по вопросам организации и осуществления бюджетного процесса, управления муниципальными финансами</t>
  </si>
  <si>
    <t>&gt;75%</t>
  </si>
  <si>
    <t>&gt;50%</t>
  </si>
  <si>
    <t>Удельный вес расходов местных бюджетов, формируемых в рамках программ, в общем объеме расходов местных бюджетов*</t>
  </si>
  <si>
    <t>* - показатели консолид. бюджета МР</t>
  </si>
  <si>
    <t>Выполнение плана по налоговым и неналоговым доходам местных бюджетов*</t>
  </si>
  <si>
    <t>Исполнение бюджета муниципального образования по доходам без учета безвозмездных поступлений к первоначально утвержденному плану*</t>
  </si>
  <si>
    <t>Доля неиспользованных на конец отчетного финансового года бюджетных ассигнований*</t>
  </si>
  <si>
    <t xml:space="preserve">Темп роста налоговых и неналоговых доходов местного бюджета к соответствующему периоду финансового года, предшествующего отчетному*
</t>
  </si>
  <si>
    <t>Просроченная задолженность по исполнению долговых обязательств муниципального образования*</t>
  </si>
  <si>
    <t>Отклонение объема расходов бюджета муниципального образования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их областного бюджета)*</t>
  </si>
  <si>
    <t>Темп роста поступлений средств от приносящей доход деятельности муниципальных бюджетных и автономных учреждений*</t>
  </si>
  <si>
    <t>Нормативное значение показателя</t>
  </si>
  <si>
    <t>1% - 2% - 0,5 ,             ≤ 1% - 1</t>
  </si>
  <si>
    <t>Жуковский муниципальный округ</t>
  </si>
  <si>
    <t>Стародубский  муниципальный округ</t>
  </si>
  <si>
    <t>Объем просроченной кредиторской задолженности консолидированного бюджета муниципального района (бюджета муниципального округа, городского округа), бюджетных и автономных учреждений муниципального образования</t>
  </si>
  <si>
    <t>Темп снижения недоимки по налоговым платежам в консолидированный бюджет муниципального района (муниципального округа, городского округа) за отчетный год</t>
  </si>
  <si>
    <t>Недоимка  по налоговым платежам в консолидированный бюджет муниципального района (муниципального округа, городского округа) на 01.01.2021</t>
  </si>
  <si>
    <t>Темп снижения  недоимки по налоговым платежам в консолидированный бюджет муниципального района (муниципального округа, городского округа) за отчетный год</t>
  </si>
  <si>
    <t>Объем налоговых и неналоговых доходов местного бюджета на 01.01.2021</t>
  </si>
  <si>
    <t>Объем поступлений средств от приносящей доход деятельности муниципальных бюджетных и автономных учреждений за 2020 год</t>
  </si>
  <si>
    <t>Индивидуальный рейтинг МР, МО и ГО</t>
  </si>
  <si>
    <t>Распределение дотации              II вариант                                      (19,5-22,5)</t>
  </si>
  <si>
    <t>Утвержденный объем расходов местного бюджета, формируемых в рамках программ (программный бюджет)</t>
  </si>
  <si>
    <t>Всего баллов с учетом выполнения соглашений с департаментом финансов Брянской области о мерах по социально-экономическому развитию и оздоровлению муниципальных финансов муниципальных районов (муниципальных округов, городских округов)</t>
  </si>
  <si>
    <t>Наименование и статус муниципального образования Брянской области</t>
  </si>
  <si>
    <t xml:space="preserve">Балльная оценка МР, МО и ГО                                          </t>
  </si>
  <si>
    <t xml:space="preserve">Темп роста налоговых и неналоговых доходов местного бюджета к соответствующему периоду финансового
года, предшествующего отчетному
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</si>
  <si>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 I квартале 2021 года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</si>
  <si>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во II квартале 2021 года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</si>
  <si>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 III квартале 2021 года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</si>
  <si>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 IV квартале 2021 года</t>
  </si>
  <si>
    <t>Объем просроченной кредиторской задолженности консолидированного бюджета муниципального района (бюджета муниципального округа, городского округа), бюджетных и автономных учреждений муниципального образования на 01.01.2022</t>
  </si>
  <si>
    <t>Недоимка  по налоговым платежам в консолидированный бюджет муниципального района (муниципального округа, городского округа) на 01.01.2022</t>
  </si>
  <si>
    <t>Объем налоговых и неналоговых доходов местного бюджета на 01.01.2022</t>
  </si>
  <si>
    <t>Просроченная задолженность по исполнению долговых обязательств муниципального образования на 01.01.2022</t>
  </si>
  <si>
    <t xml:space="preserve">Объем взысканных средств из бюджета муниципального образования в связи с применением бюджетных мер принуждения при выявлении фактов нарушения условий предоставления (расходования) и (или) нецелевого использования межбюджетных трансфертов из областного бюджета за 2021 год     </t>
  </si>
  <si>
    <t>Общий объем целевых межбюджетных трансфертов, предоставляемых из областного бюджета бюджету муниципального образования в 2021 году</t>
  </si>
  <si>
    <t>Объем поступлений средств от приносящей доход деятельности муниципальных бюджетных и автономных учреждений за 2021 год</t>
  </si>
  <si>
    <t>Размещение на официальных сайтах органов местного самоуправления решений о бюджете на 2021 и на плановый период 2022 и 2023 годов , а так же решений о внесении изменений в решение о бюджете на 2021 и на плановый период 2022 и 2023 годов</t>
  </si>
  <si>
    <t>Размещение на официальных сайтах органов местного самоуправления расчетов распределения дотаций на выравнивание бюджетной обеспеченности поселений, предусмотренных решением о местном бюджете на 2021 год и на плановый период 2022 и 2023 годов</t>
  </si>
  <si>
    <t>не все</t>
  </si>
  <si>
    <t xml:space="preserve">не все ГРБС </t>
  </si>
  <si>
    <t>Мониторинг оценки качества организации и осуществления бюджетного процесса муниципальных районов (муниципальных округов, городских округов) за 2021 год</t>
  </si>
  <si>
    <t xml:space="preserve">Распределение дотации                    I вариант  
(21,0-23,0)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</si>
</sst>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%"/>
    <numFmt numFmtId="175" formatCode="#,##0.0_ ;\-#,##0.0\ "/>
    <numFmt numFmtId="176" formatCode="#,##0.000_ ;\-#,##0.000\ "/>
    <numFmt numFmtId="177" formatCode="#,##0.0_ ;[Red]\-#,##0.0\ "/>
    <numFmt numFmtId="178" formatCode="0.0_ ;[Red]\-0.0\ "/>
    <numFmt numFmtId="179" formatCode="_-* #,##0_р_._-;\-* #,##0_р_._-;_-* &quot;-&quot;??_р_._-;_-@_-"/>
    <numFmt numFmtId="180" formatCode="#,##0.00_ ;[Red]\-#,##0.00\ "/>
    <numFmt numFmtId="181" formatCode="#,##0.000000_ ;[Red]\-#,##0.000000\ "/>
    <numFmt numFmtId="182" formatCode="#,##0.000_ ;[Red]\-#,##0.000\ "/>
    <numFmt numFmtId="183" formatCode="_-* #,##0.00_р_._-;\-* #,##0.00_р_._-;_-* &quot;-&quot;?_р_._-;_-@_-"/>
    <numFmt numFmtId="184" formatCode="_-* #,##0.0_р_._-;\-* #,##0.0_р_._-;_-* &quot;-&quot;?_р_._-;_-@_-"/>
    <numFmt numFmtId="185" formatCode="#,##0.0000_ ;[Red]\-#,##0.0000\ "/>
    <numFmt numFmtId="186" formatCode="#,##0.000"/>
    <numFmt numFmtId="187" formatCode="#,##0.00_ ;\-#,##0.00\ 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_-* #,##0.0\ _₽_-;\-* #,##0.0\ _₽_-;_-* &quot;-&quot;?\ _₽_-;_-@_-"/>
    <numFmt numFmtId="194" formatCode="0.00000000%"/>
    <numFmt numFmtId="195" formatCode="0.000000000%"/>
    <numFmt numFmtId="196" formatCode="0.0000000000%"/>
    <numFmt numFmtId="197" formatCode="#,##0_ ;\-#,##0\ "/>
    <numFmt numFmtId="198" formatCode="#,##0.0000_ ;\-#,##0.0000\ "/>
    <numFmt numFmtId="199" formatCode="#,##0.0000"/>
    <numFmt numFmtId="200" formatCode="#,##0.00000"/>
    <numFmt numFmtId="201" formatCode="#,##0.00000_ ;[Red]\-#,##0.00000\ "/>
    <numFmt numFmtId="202" formatCode="#,##0.0000000_ ;[Red]\-#,##0.0000000\ "/>
    <numFmt numFmtId="203" formatCode="[$-FC19]d\ mmmm\ yyyy\ &quot;г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71" fontId="3" fillId="0" borderId="0" xfId="63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9" fontId="6" fillId="34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73" fontId="6" fillId="0" borderId="16" xfId="63" applyNumberFormat="1" applyFont="1" applyFill="1" applyBorder="1" applyAlignment="1">
      <alignment horizontal="center"/>
    </xf>
    <xf numFmtId="171" fontId="4" fillId="0" borderId="16" xfId="63" applyNumberFormat="1" applyFont="1" applyFill="1" applyBorder="1" applyAlignment="1">
      <alignment horizontal="center"/>
    </xf>
    <xf numFmtId="171" fontId="4" fillId="0" borderId="17" xfId="63" applyNumberFormat="1" applyFont="1" applyFill="1" applyBorder="1" applyAlignment="1">
      <alignment horizontal="center"/>
    </xf>
    <xf numFmtId="173" fontId="6" fillId="0" borderId="16" xfId="63" applyNumberFormat="1" applyFont="1" applyFill="1" applyBorder="1" applyAlignment="1">
      <alignment/>
    </xf>
    <xf numFmtId="171" fontId="4" fillId="0" borderId="16" xfId="63" applyNumberFormat="1" applyFont="1" applyFill="1" applyBorder="1" applyAlignment="1">
      <alignment/>
    </xf>
    <xf numFmtId="171" fontId="4" fillId="0" borderId="17" xfId="63" applyNumberFormat="1" applyFont="1" applyFill="1" applyBorder="1" applyAlignment="1">
      <alignment/>
    </xf>
    <xf numFmtId="1" fontId="4" fillId="0" borderId="16" xfId="63" applyNumberFormat="1" applyFont="1" applyFill="1" applyBorder="1" applyAlignment="1">
      <alignment horizontal="center"/>
    </xf>
    <xf numFmtId="174" fontId="4" fillId="0" borderId="17" xfId="58" applyNumberFormat="1" applyFont="1" applyFill="1" applyBorder="1" applyAlignment="1">
      <alignment horizontal="center"/>
    </xf>
    <xf numFmtId="175" fontId="4" fillId="0" borderId="16" xfId="63" applyNumberFormat="1" applyFont="1" applyFill="1" applyBorder="1" applyAlignment="1">
      <alignment horizontal="center"/>
    </xf>
    <xf numFmtId="177" fontId="4" fillId="0" borderId="16" xfId="63" applyNumberFormat="1" applyFont="1" applyFill="1" applyBorder="1" applyAlignment="1">
      <alignment horizontal="center"/>
    </xf>
    <xf numFmtId="177" fontId="4" fillId="0" borderId="16" xfId="63" applyNumberFormat="1" applyFont="1" applyFill="1" applyBorder="1" applyAlignment="1">
      <alignment/>
    </xf>
    <xf numFmtId="177" fontId="6" fillId="0" borderId="16" xfId="63" applyNumberFormat="1" applyFont="1" applyFill="1" applyBorder="1" applyAlignment="1">
      <alignment/>
    </xf>
    <xf numFmtId="179" fontId="4" fillId="0" borderId="16" xfId="63" applyNumberFormat="1" applyFont="1" applyFill="1" applyBorder="1" applyAlignment="1">
      <alignment/>
    </xf>
    <xf numFmtId="180" fontId="4" fillId="0" borderId="16" xfId="63" applyNumberFormat="1" applyFont="1" applyFill="1" applyBorder="1" applyAlignment="1">
      <alignment/>
    </xf>
    <xf numFmtId="173" fontId="6" fillId="0" borderId="17" xfId="63" applyNumberFormat="1" applyFont="1" applyFill="1" applyBorder="1" applyAlignment="1">
      <alignment horizontal="center"/>
    </xf>
    <xf numFmtId="179" fontId="4" fillId="0" borderId="16" xfId="63" applyNumberFormat="1" applyFont="1" applyFill="1" applyBorder="1" applyAlignment="1">
      <alignment horizontal="center"/>
    </xf>
    <xf numFmtId="173" fontId="4" fillId="0" borderId="16" xfId="63" applyNumberFormat="1" applyFont="1" applyFill="1" applyBorder="1" applyAlignment="1">
      <alignment horizontal="center"/>
    </xf>
    <xf numFmtId="173" fontId="4" fillId="0" borderId="17" xfId="63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3" fontId="0" fillId="0" borderId="16" xfId="0" applyNumberFormat="1" applyFill="1" applyBorder="1" applyAlignment="1">
      <alignment/>
    </xf>
    <xf numFmtId="171" fontId="4" fillId="0" borderId="10" xfId="63" applyNumberFormat="1" applyFont="1" applyFill="1" applyBorder="1" applyAlignment="1">
      <alignment horizontal="center"/>
    </xf>
    <xf numFmtId="171" fontId="4" fillId="0" borderId="11" xfId="63" applyNumberFormat="1" applyFont="1" applyFill="1" applyBorder="1" applyAlignment="1">
      <alignment horizontal="center"/>
    </xf>
    <xf numFmtId="171" fontId="4" fillId="0" borderId="10" xfId="63" applyNumberFormat="1" applyFont="1" applyFill="1" applyBorder="1" applyAlignment="1">
      <alignment/>
    </xf>
    <xf numFmtId="1" fontId="4" fillId="0" borderId="10" xfId="63" applyNumberFormat="1" applyFont="1" applyFill="1" applyBorder="1" applyAlignment="1">
      <alignment horizontal="center"/>
    </xf>
    <xf numFmtId="173" fontId="6" fillId="0" borderId="10" xfId="63" applyNumberFormat="1" applyFont="1" applyFill="1" applyBorder="1" applyAlignment="1">
      <alignment horizontal="center"/>
    </xf>
    <xf numFmtId="177" fontId="4" fillId="0" borderId="10" xfId="63" applyNumberFormat="1" applyFont="1" applyFill="1" applyBorder="1" applyAlignment="1">
      <alignment horizontal="center"/>
    </xf>
    <xf numFmtId="177" fontId="4" fillId="0" borderId="10" xfId="63" applyNumberFormat="1" applyFont="1" applyFill="1" applyBorder="1" applyAlignment="1">
      <alignment/>
    </xf>
    <xf numFmtId="179" fontId="4" fillId="0" borderId="10" xfId="63" applyNumberFormat="1" applyFont="1" applyFill="1" applyBorder="1" applyAlignment="1">
      <alignment/>
    </xf>
    <xf numFmtId="180" fontId="4" fillId="0" borderId="10" xfId="63" applyNumberFormat="1" applyFont="1" applyFill="1" applyBorder="1" applyAlignment="1">
      <alignment/>
    </xf>
    <xf numFmtId="179" fontId="4" fillId="0" borderId="10" xfId="63" applyNumberFormat="1" applyFont="1" applyFill="1" applyBorder="1" applyAlignment="1">
      <alignment horizontal="center"/>
    </xf>
    <xf numFmtId="173" fontId="4" fillId="0" borderId="10" xfId="63" applyNumberFormat="1" applyFont="1" applyFill="1" applyBorder="1" applyAlignment="1">
      <alignment horizontal="center"/>
    </xf>
    <xf numFmtId="173" fontId="6" fillId="0" borderId="10" xfId="63" applyNumberFormat="1" applyFont="1" applyFill="1" applyBorder="1" applyAlignment="1">
      <alignment/>
    </xf>
    <xf numFmtId="183" fontId="0" fillId="0" borderId="10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173" fontId="6" fillId="0" borderId="18" xfId="63" applyNumberFormat="1" applyFont="1" applyFill="1" applyBorder="1" applyAlignment="1">
      <alignment horizontal="center"/>
    </xf>
    <xf numFmtId="171" fontId="4" fillId="0" borderId="12" xfId="63" applyNumberFormat="1" applyFont="1" applyFill="1" applyBorder="1" applyAlignment="1">
      <alignment horizontal="center"/>
    </xf>
    <xf numFmtId="171" fontId="4" fillId="0" borderId="13" xfId="63" applyNumberFormat="1" applyFont="1" applyFill="1" applyBorder="1" applyAlignment="1">
      <alignment horizontal="center"/>
    </xf>
    <xf numFmtId="173" fontId="6" fillId="0" borderId="18" xfId="63" applyNumberFormat="1" applyFont="1" applyFill="1" applyBorder="1" applyAlignment="1">
      <alignment/>
    </xf>
    <xf numFmtId="171" fontId="4" fillId="0" borderId="12" xfId="63" applyNumberFormat="1" applyFont="1" applyFill="1" applyBorder="1" applyAlignment="1">
      <alignment/>
    </xf>
    <xf numFmtId="171" fontId="4" fillId="0" borderId="19" xfId="63" applyNumberFormat="1" applyFont="1" applyFill="1" applyBorder="1" applyAlignment="1">
      <alignment/>
    </xf>
    <xf numFmtId="1" fontId="4" fillId="0" borderId="12" xfId="63" applyNumberFormat="1" applyFont="1" applyFill="1" applyBorder="1" applyAlignment="1">
      <alignment horizontal="center"/>
    </xf>
    <xf numFmtId="171" fontId="4" fillId="0" borderId="19" xfId="63" applyNumberFormat="1" applyFont="1" applyFill="1" applyBorder="1" applyAlignment="1">
      <alignment horizontal="center"/>
    </xf>
    <xf numFmtId="174" fontId="4" fillId="0" borderId="19" xfId="58" applyNumberFormat="1" applyFont="1" applyFill="1" applyBorder="1" applyAlignment="1">
      <alignment horizontal="center"/>
    </xf>
    <xf numFmtId="173" fontId="6" fillId="0" borderId="12" xfId="63" applyNumberFormat="1" applyFont="1" applyFill="1" applyBorder="1" applyAlignment="1">
      <alignment horizontal="center"/>
    </xf>
    <xf numFmtId="175" fontId="4" fillId="0" borderId="18" xfId="63" applyNumberFormat="1" applyFont="1" applyFill="1" applyBorder="1" applyAlignment="1">
      <alignment horizontal="center"/>
    </xf>
    <xf numFmtId="177" fontId="4" fillId="0" borderId="12" xfId="63" applyNumberFormat="1" applyFont="1" applyFill="1" applyBorder="1" applyAlignment="1">
      <alignment horizontal="center"/>
    </xf>
    <xf numFmtId="171" fontId="4" fillId="0" borderId="18" xfId="63" applyNumberFormat="1" applyFont="1" applyFill="1" applyBorder="1" applyAlignment="1">
      <alignment/>
    </xf>
    <xf numFmtId="177" fontId="4" fillId="0" borderId="12" xfId="63" applyNumberFormat="1" applyFont="1" applyFill="1" applyBorder="1" applyAlignment="1">
      <alignment/>
    </xf>
    <xf numFmtId="177" fontId="6" fillId="0" borderId="18" xfId="63" applyNumberFormat="1" applyFont="1" applyFill="1" applyBorder="1" applyAlignment="1">
      <alignment/>
    </xf>
    <xf numFmtId="179" fontId="4" fillId="0" borderId="18" xfId="63" applyNumberFormat="1" applyFont="1" applyFill="1" applyBorder="1" applyAlignment="1">
      <alignment/>
    </xf>
    <xf numFmtId="179" fontId="4" fillId="0" borderId="12" xfId="63" applyNumberFormat="1" applyFont="1" applyFill="1" applyBorder="1" applyAlignment="1">
      <alignment/>
    </xf>
    <xf numFmtId="173" fontId="6" fillId="0" borderId="19" xfId="63" applyNumberFormat="1" applyFont="1" applyFill="1" applyBorder="1" applyAlignment="1">
      <alignment horizontal="center"/>
    </xf>
    <xf numFmtId="179" fontId="4" fillId="0" borderId="12" xfId="63" applyNumberFormat="1" applyFont="1" applyFill="1" applyBorder="1" applyAlignment="1">
      <alignment horizontal="center"/>
    </xf>
    <xf numFmtId="173" fontId="4" fillId="0" borderId="18" xfId="63" applyNumberFormat="1" applyFont="1" applyFill="1" applyBorder="1" applyAlignment="1">
      <alignment horizontal="center"/>
    </xf>
    <xf numFmtId="173" fontId="4" fillId="0" borderId="13" xfId="63" applyNumberFormat="1" applyFont="1" applyFill="1" applyBorder="1" applyAlignment="1">
      <alignment horizontal="center"/>
    </xf>
    <xf numFmtId="173" fontId="4" fillId="0" borderId="12" xfId="63" applyNumberFormat="1" applyFont="1" applyFill="1" applyBorder="1" applyAlignment="1">
      <alignment horizontal="center"/>
    </xf>
    <xf numFmtId="173" fontId="6" fillId="0" borderId="12" xfId="63" applyNumberFormat="1" applyFont="1" applyFill="1" applyBorder="1" applyAlignment="1">
      <alignment/>
    </xf>
    <xf numFmtId="0" fontId="0" fillId="0" borderId="12" xfId="0" applyBorder="1" applyAlignment="1">
      <alignment/>
    </xf>
    <xf numFmtId="179" fontId="6" fillId="34" borderId="10" xfId="63" applyNumberFormat="1" applyFont="1" applyFill="1" applyBorder="1" applyAlignment="1">
      <alignment horizontal="center"/>
    </xf>
    <xf numFmtId="171" fontId="6" fillId="34" borderId="10" xfId="63" applyNumberFormat="1" applyFont="1" applyFill="1" applyBorder="1" applyAlignment="1">
      <alignment horizontal="center"/>
    </xf>
    <xf numFmtId="171" fontId="6" fillId="34" borderId="11" xfId="63" applyNumberFormat="1" applyFont="1" applyFill="1" applyBorder="1" applyAlignment="1">
      <alignment horizontal="center"/>
    </xf>
    <xf numFmtId="10" fontId="6" fillId="34" borderId="10" xfId="58" applyNumberFormat="1" applyFont="1" applyFill="1" applyBorder="1" applyAlignment="1">
      <alignment horizontal="right"/>
    </xf>
    <xf numFmtId="174" fontId="6" fillId="34" borderId="11" xfId="58" applyNumberFormat="1" applyFont="1" applyFill="1" applyBorder="1" applyAlignment="1">
      <alignment horizontal="center"/>
    </xf>
    <xf numFmtId="179" fontId="6" fillId="34" borderId="20" xfId="63" applyNumberFormat="1" applyFont="1" applyFill="1" applyBorder="1" applyAlignment="1">
      <alignment horizontal="center"/>
    </xf>
    <xf numFmtId="179" fontId="6" fillId="34" borderId="10" xfId="63" applyNumberFormat="1" applyFont="1" applyFill="1" applyBorder="1" applyAlignment="1">
      <alignment horizontal="right"/>
    </xf>
    <xf numFmtId="173" fontId="6" fillId="34" borderId="10" xfId="63" applyNumberFormat="1" applyFont="1" applyFill="1" applyBorder="1" applyAlignment="1">
      <alignment horizontal="center"/>
    </xf>
    <xf numFmtId="179" fontId="6" fillId="34" borderId="11" xfId="63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72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96" fontId="4" fillId="0" borderId="0" xfId="58" applyNumberFormat="1" applyFont="1" applyFill="1" applyBorder="1" applyAlignment="1">
      <alignment/>
    </xf>
    <xf numFmtId="197" fontId="4" fillId="0" borderId="16" xfId="63" applyNumberFormat="1" applyFont="1" applyFill="1" applyBorder="1" applyAlignment="1">
      <alignment horizontal="center"/>
    </xf>
    <xf numFmtId="197" fontId="4" fillId="0" borderId="18" xfId="63" applyNumberFormat="1" applyFont="1" applyFill="1" applyBorder="1" applyAlignment="1">
      <alignment horizontal="center"/>
    </xf>
    <xf numFmtId="10" fontId="4" fillId="0" borderId="16" xfId="57" applyNumberFormat="1" applyFont="1" applyFill="1" applyBorder="1" applyAlignment="1">
      <alignment horizontal="center"/>
    </xf>
    <xf numFmtId="189" fontId="0" fillId="0" borderId="0" xfId="57" applyNumberFormat="1" applyFont="1" applyAlignment="1">
      <alignment/>
    </xf>
    <xf numFmtId="174" fontId="4" fillId="0" borderId="17" xfId="57" applyNumberFormat="1" applyFont="1" applyFill="1" applyBorder="1" applyAlignment="1">
      <alignment horizontal="center"/>
    </xf>
    <xf numFmtId="10" fontId="6" fillId="0" borderId="10" xfId="57" applyNumberFormat="1" applyFont="1" applyFill="1" applyBorder="1" applyAlignment="1">
      <alignment horizontal="center" vertical="center" wrapText="1"/>
    </xf>
    <xf numFmtId="174" fontId="4" fillId="0" borderId="16" xfId="57" applyNumberFormat="1" applyFont="1" applyFill="1" applyBorder="1" applyAlignment="1">
      <alignment horizontal="center"/>
    </xf>
    <xf numFmtId="174" fontId="4" fillId="0" borderId="18" xfId="57" applyNumberFormat="1" applyFont="1" applyFill="1" applyBorder="1" applyAlignment="1">
      <alignment horizontal="center"/>
    </xf>
    <xf numFmtId="174" fontId="4" fillId="0" borderId="17" xfId="57" applyNumberFormat="1" applyFont="1" applyFill="1" applyBorder="1" applyAlignment="1">
      <alignment horizontal="right"/>
    </xf>
    <xf numFmtId="174" fontId="4" fillId="0" borderId="16" xfId="63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3" fontId="6" fillId="0" borderId="10" xfId="63" applyNumberFormat="1" applyFont="1" applyFill="1" applyBorder="1" applyAlignment="1">
      <alignment/>
    </xf>
    <xf numFmtId="174" fontId="6" fillId="34" borderId="10" xfId="57" applyNumberFormat="1" applyFont="1" applyFill="1" applyBorder="1" applyAlignment="1">
      <alignment horizontal="center"/>
    </xf>
    <xf numFmtId="10" fontId="6" fillId="34" borderId="10" xfId="57" applyNumberFormat="1" applyFont="1" applyFill="1" applyBorder="1" applyAlignment="1">
      <alignment horizontal="center"/>
    </xf>
    <xf numFmtId="174" fontId="4" fillId="0" borderId="10" xfId="58" applyNumberFormat="1" applyFont="1" applyFill="1" applyBorder="1" applyAlignment="1">
      <alignment horizontal="center"/>
    </xf>
    <xf numFmtId="174" fontId="6" fillId="34" borderId="11" xfId="57" applyNumberFormat="1" applyFont="1" applyFill="1" applyBorder="1" applyAlignment="1">
      <alignment horizontal="center"/>
    </xf>
    <xf numFmtId="174" fontId="4" fillId="0" borderId="16" xfId="58" applyNumberFormat="1" applyFont="1" applyFill="1" applyBorder="1" applyAlignment="1">
      <alignment horizontal="center"/>
    </xf>
    <xf numFmtId="174" fontId="6" fillId="34" borderId="10" xfId="58" applyNumberFormat="1" applyFont="1" applyFill="1" applyBorder="1" applyAlignment="1">
      <alignment horizontal="center"/>
    </xf>
    <xf numFmtId="180" fontId="4" fillId="0" borderId="16" xfId="63" applyNumberFormat="1" applyFont="1" applyFill="1" applyBorder="1" applyAlignment="1">
      <alignment horizontal="center"/>
    </xf>
    <xf numFmtId="180" fontId="4" fillId="0" borderId="10" xfId="63" applyNumberFormat="1" applyFont="1" applyFill="1" applyBorder="1" applyAlignment="1">
      <alignment horizontal="center"/>
    </xf>
    <xf numFmtId="180" fontId="4" fillId="0" borderId="12" xfId="63" applyNumberFormat="1" applyFont="1" applyFill="1" applyBorder="1" applyAlignment="1">
      <alignment horizontal="center"/>
    </xf>
    <xf numFmtId="1" fontId="4" fillId="0" borderId="10" xfId="63" applyNumberFormat="1" applyFont="1" applyFill="1" applyBorder="1" applyAlignment="1">
      <alignment/>
    </xf>
    <xf numFmtId="1" fontId="4" fillId="0" borderId="12" xfId="63" applyNumberFormat="1" applyFont="1" applyFill="1" applyBorder="1" applyAlignment="1">
      <alignment/>
    </xf>
    <xf numFmtId="1" fontId="4" fillId="0" borderId="16" xfId="63" applyNumberFormat="1" applyFont="1" applyFill="1" applyBorder="1" applyAlignment="1">
      <alignment/>
    </xf>
    <xf numFmtId="0" fontId="6" fillId="31" borderId="11" xfId="0" applyFont="1" applyFill="1" applyBorder="1" applyAlignment="1">
      <alignment horizontal="center"/>
    </xf>
    <xf numFmtId="177" fontId="6" fillId="0" borderId="21" xfId="63" applyNumberFormat="1" applyFont="1" applyFill="1" applyBorder="1" applyAlignment="1">
      <alignment/>
    </xf>
    <xf numFmtId="172" fontId="6" fillId="35" borderId="11" xfId="63" applyNumberFormat="1" applyFont="1" applyFill="1" applyBorder="1" applyAlignment="1">
      <alignment horizontal="center"/>
    </xf>
    <xf numFmtId="172" fontId="4" fillId="35" borderId="10" xfId="0" applyNumberFormat="1" applyFont="1" applyFill="1" applyBorder="1" applyAlignment="1">
      <alignment horizontal="center"/>
    </xf>
    <xf numFmtId="171" fontId="7" fillId="0" borderId="21" xfId="63" applyFont="1" applyBorder="1" applyAlignment="1">
      <alignment horizontal="left"/>
    </xf>
    <xf numFmtId="171" fontId="7" fillId="0" borderId="21" xfId="63" applyFont="1" applyBorder="1" applyAlignment="1">
      <alignment horizontal="center"/>
    </xf>
    <xf numFmtId="0" fontId="4" fillId="0" borderId="0" xfId="0" applyFont="1" applyFill="1" applyBorder="1" applyAlignment="1">
      <alignment/>
    </xf>
    <xf numFmtId="172" fontId="4" fillId="35" borderId="12" xfId="0" applyNumberFormat="1" applyFont="1" applyFill="1" applyBorder="1" applyAlignment="1">
      <alignment horizontal="center"/>
    </xf>
    <xf numFmtId="197" fontId="0" fillId="0" borderId="0" xfId="0" applyNumberFormat="1" applyAlignment="1">
      <alignment/>
    </xf>
    <xf numFmtId="172" fontId="4" fillId="35" borderId="16" xfId="0" applyNumberFormat="1" applyFont="1" applyFill="1" applyBorder="1" applyAlignment="1">
      <alignment horizontal="center"/>
    </xf>
    <xf numFmtId="171" fontId="6" fillId="34" borderId="10" xfId="63" applyNumberFormat="1" applyFont="1" applyFill="1" applyBorder="1" applyAlignment="1">
      <alignment horizontal="right"/>
    </xf>
    <xf numFmtId="183" fontId="50" fillId="0" borderId="16" xfId="0" applyNumberFormat="1" applyFont="1" applyFill="1" applyBorder="1" applyAlignment="1">
      <alignment/>
    </xf>
    <xf numFmtId="0" fontId="6" fillId="31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80" fontId="4" fillId="0" borderId="12" xfId="63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73" fontId="4" fillId="35" borderId="17" xfId="63" applyNumberFormat="1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5" fillId="31" borderId="20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6" fillId="31" borderId="12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0" fontId="51" fillId="31" borderId="18" xfId="0" applyFont="1" applyFill="1" applyBorder="1" applyAlignment="1">
      <alignment horizontal="center" vertical="center" wrapText="1"/>
    </xf>
    <xf numFmtId="0" fontId="51" fillId="31" borderId="1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1"/>
  <sheetViews>
    <sheetView tabSelected="1" view="pageBreakPreview" zoomScaleNormal="7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7" sqref="A17"/>
    </sheetView>
  </sheetViews>
  <sheetFormatPr defaultColWidth="9.140625" defaultRowHeight="15"/>
  <cols>
    <col min="1" max="1" width="3.00390625" style="0" customWidth="1"/>
    <col min="2" max="2" width="31.28125" style="0" customWidth="1"/>
    <col min="3" max="3" width="24.57421875" style="0" customWidth="1"/>
    <col min="4" max="4" width="19.7109375" style="0" customWidth="1"/>
    <col min="5" max="5" width="15.57421875" style="0" customWidth="1"/>
    <col min="6" max="6" width="16.28125" style="0" customWidth="1"/>
    <col min="7" max="7" width="14.7109375" style="0" customWidth="1"/>
    <col min="8" max="8" width="14.140625" style="0" customWidth="1"/>
    <col min="9" max="9" width="17.7109375" style="0" customWidth="1"/>
    <col min="10" max="10" width="17.28125" style="0" customWidth="1"/>
    <col min="11" max="11" width="14.57421875" style="0" customWidth="1"/>
    <col min="12" max="12" width="15.57421875" style="0" customWidth="1"/>
    <col min="13" max="13" width="17.7109375" style="0" customWidth="1"/>
    <col min="14" max="14" width="18.140625" style="0" customWidth="1"/>
    <col min="15" max="15" width="13.28125" style="0" customWidth="1"/>
    <col min="16" max="16" width="10.421875" style="0" customWidth="1"/>
    <col min="17" max="17" width="13.28125" style="0" customWidth="1"/>
    <col min="18" max="18" width="15.421875" style="0" customWidth="1"/>
    <col min="19" max="19" width="13.57421875" style="0" customWidth="1"/>
    <col min="20" max="20" width="11.57421875" style="0" customWidth="1"/>
    <col min="21" max="21" width="16.140625" style="0" customWidth="1"/>
    <col min="22" max="22" width="13.421875" style="0" customWidth="1"/>
    <col min="23" max="23" width="15.57421875" style="0" customWidth="1"/>
    <col min="24" max="24" width="13.7109375" style="0" customWidth="1"/>
    <col min="25" max="25" width="21.8515625" style="0" customWidth="1"/>
    <col min="26" max="26" width="24.28125" style="0" customWidth="1"/>
    <col min="27" max="27" width="23.421875" style="0" customWidth="1"/>
    <col min="28" max="28" width="14.140625" style="0" customWidth="1"/>
    <col min="29" max="29" width="22.57421875" style="0" customWidth="1"/>
    <col min="30" max="30" width="22.421875" style="0" customWidth="1"/>
    <col min="31" max="31" width="20.7109375" style="0" customWidth="1"/>
    <col min="32" max="32" width="18.7109375" style="0" customWidth="1"/>
    <col min="33" max="33" width="19.00390625" style="0" customWidth="1"/>
    <col min="34" max="34" width="20.421875" style="0" customWidth="1"/>
    <col min="35" max="35" width="19.140625" style="0" customWidth="1"/>
    <col min="36" max="36" width="18.7109375" style="0" customWidth="1"/>
    <col min="37" max="37" width="22.7109375" style="0" customWidth="1"/>
    <col min="38" max="38" width="26.7109375" style="0" customWidth="1"/>
    <col min="39" max="39" width="23.57421875" style="0" customWidth="1"/>
    <col min="40" max="40" width="20.57421875" style="0" customWidth="1"/>
    <col min="41" max="41" width="22.28125" style="0" customWidth="1"/>
    <col min="42" max="42" width="24.7109375" style="0" customWidth="1"/>
    <col min="43" max="43" width="22.57421875" style="0" customWidth="1"/>
    <col min="44" max="44" width="17.7109375" style="0" customWidth="1"/>
    <col min="45" max="45" width="22.421875" style="0" customWidth="1"/>
    <col min="46" max="46" width="20.28125" style="0" customWidth="1"/>
    <col min="47" max="47" width="24.57421875" style="0" customWidth="1"/>
    <col min="48" max="48" width="15.7109375" style="0" customWidth="1"/>
    <col min="49" max="49" width="24.7109375" style="0" customWidth="1"/>
    <col min="50" max="50" width="19.421875" style="0" customWidth="1"/>
    <col min="51" max="51" width="18.57421875" style="0" customWidth="1"/>
    <col min="52" max="52" width="16.8515625" style="0" customWidth="1"/>
    <col min="53" max="53" width="16.7109375" style="0" customWidth="1"/>
    <col min="54" max="54" width="16.421875" style="0" customWidth="1"/>
    <col min="55" max="55" width="35.00390625" style="0" customWidth="1"/>
    <col min="56" max="56" width="17.7109375" style="0" customWidth="1"/>
    <col min="57" max="57" width="21.421875" style="0" customWidth="1"/>
    <col min="58" max="58" width="18.7109375" style="0" customWidth="1"/>
    <col min="59" max="59" width="20.7109375" style="0" customWidth="1"/>
    <col min="60" max="60" width="12.7109375" style="0" customWidth="1"/>
    <col min="61" max="61" width="17.28125" style="0" customWidth="1"/>
    <col min="62" max="62" width="17.421875" style="0" customWidth="1"/>
    <col min="63" max="64" width="17.7109375" style="0" customWidth="1"/>
    <col min="65" max="65" width="17.8515625" style="0" customWidth="1"/>
    <col min="66" max="66" width="13.57421875" style="0" customWidth="1"/>
    <col min="67" max="67" width="17.28125" style="0" customWidth="1"/>
    <col min="68" max="68" width="16.8515625" style="0" customWidth="1"/>
    <col min="69" max="69" width="16.28125" style="0" customWidth="1"/>
    <col min="70" max="70" width="19.7109375" style="0" customWidth="1"/>
    <col min="71" max="71" width="22.00390625" style="0" customWidth="1"/>
    <col min="72" max="72" width="15.28125" style="0" customWidth="1"/>
    <col min="73" max="73" width="13.8515625" style="0" customWidth="1"/>
    <col min="74" max="74" width="13.7109375" style="0" customWidth="1"/>
    <col min="75" max="75" width="18.28125" style="0" customWidth="1"/>
    <col min="76" max="76" width="15.7109375" style="0" customWidth="1"/>
    <col min="77" max="77" width="23.7109375" style="0" customWidth="1"/>
    <col min="78" max="78" width="16.57421875" style="0" customWidth="1"/>
    <col min="79" max="79" width="22.28125" style="0" customWidth="1"/>
    <col min="80" max="80" width="16.28125" style="0" customWidth="1"/>
    <col min="81" max="81" width="9.421875" style="0" customWidth="1"/>
    <col min="82" max="82" width="16.28125" style="0" customWidth="1"/>
    <col min="83" max="83" width="29.8515625" style="0" customWidth="1"/>
    <col min="84" max="84" width="11.140625" style="0" customWidth="1"/>
    <col min="85" max="85" width="15.28125" style="0" hidden="1" customWidth="1"/>
    <col min="86" max="86" width="13.8515625" style="0" hidden="1" customWidth="1"/>
  </cols>
  <sheetData>
    <row r="1" spans="2:76" s="1" customFormat="1" ht="12" customHeight="1">
      <c r="B1" s="123"/>
      <c r="C1" s="122" t="s">
        <v>189</v>
      </c>
      <c r="D1" s="122"/>
      <c r="E1" s="122"/>
      <c r="F1" s="122"/>
      <c r="G1" s="2"/>
      <c r="M1" s="2"/>
      <c r="N1" s="2"/>
      <c r="O1" s="2"/>
      <c r="P1" s="2"/>
      <c r="Y1" s="2"/>
      <c r="Z1" s="2"/>
      <c r="AA1" s="2"/>
      <c r="AB1" s="2"/>
      <c r="AO1" s="2"/>
      <c r="AP1" s="2"/>
      <c r="AS1" s="2"/>
      <c r="AT1" s="2"/>
      <c r="AU1" s="2"/>
      <c r="AV1" s="2"/>
      <c r="AX1" s="3"/>
      <c r="AY1" s="3"/>
      <c r="AZ1" s="3"/>
      <c r="BA1" s="3"/>
      <c r="BB1" s="3"/>
      <c r="BC1" s="2"/>
      <c r="BD1" s="2"/>
      <c r="BS1" s="4"/>
      <c r="BT1" s="5"/>
      <c r="BV1" s="4"/>
      <c r="BW1" s="4"/>
      <c r="BX1" s="5"/>
    </row>
    <row r="2" spans="1:86" ht="99" customHeight="1">
      <c r="A2" s="148" t="s">
        <v>171</v>
      </c>
      <c r="B2" s="149"/>
      <c r="C2" s="144" t="s">
        <v>148</v>
      </c>
      <c r="D2" s="146"/>
      <c r="E2" s="146"/>
      <c r="F2" s="145"/>
      <c r="G2" s="144" t="s">
        <v>1</v>
      </c>
      <c r="H2" s="145"/>
      <c r="I2" s="144" t="s">
        <v>150</v>
      </c>
      <c r="J2" s="146"/>
      <c r="K2" s="146"/>
      <c r="L2" s="145"/>
      <c r="M2" s="144" t="s">
        <v>151</v>
      </c>
      <c r="N2" s="146"/>
      <c r="O2" s="146"/>
      <c r="P2" s="145"/>
      <c r="Q2" s="144" t="s">
        <v>3</v>
      </c>
      <c r="R2" s="146"/>
      <c r="S2" s="146"/>
      <c r="T2" s="145"/>
      <c r="U2" s="144" t="s">
        <v>103</v>
      </c>
      <c r="V2" s="146"/>
      <c r="W2" s="146"/>
      <c r="X2" s="145"/>
      <c r="Y2" s="144" t="s">
        <v>4</v>
      </c>
      <c r="Z2" s="146"/>
      <c r="AA2" s="146"/>
      <c r="AB2" s="145"/>
      <c r="AC2" s="144" t="s">
        <v>100</v>
      </c>
      <c r="AD2" s="146"/>
      <c r="AE2" s="146"/>
      <c r="AF2" s="145"/>
      <c r="AG2" s="144" t="s">
        <v>152</v>
      </c>
      <c r="AH2" s="146"/>
      <c r="AI2" s="146"/>
      <c r="AJ2" s="145"/>
      <c r="AK2" s="144" t="s">
        <v>68</v>
      </c>
      <c r="AL2" s="146"/>
      <c r="AM2" s="144" t="s">
        <v>161</v>
      </c>
      <c r="AN2" s="145"/>
      <c r="AO2" s="144" t="s">
        <v>162</v>
      </c>
      <c r="AP2" s="146"/>
      <c r="AQ2" s="146"/>
      <c r="AR2" s="145"/>
      <c r="AS2" s="144" t="s">
        <v>153</v>
      </c>
      <c r="AT2" s="154"/>
      <c r="AU2" s="154"/>
      <c r="AV2" s="155"/>
      <c r="AW2" s="144" t="s">
        <v>154</v>
      </c>
      <c r="AX2" s="145"/>
      <c r="AY2" s="144" t="s">
        <v>5</v>
      </c>
      <c r="AZ2" s="146"/>
      <c r="BA2" s="146"/>
      <c r="BB2" s="145"/>
      <c r="BC2" s="144" t="s">
        <v>6</v>
      </c>
      <c r="BD2" s="145"/>
      <c r="BE2" s="144" t="s">
        <v>7</v>
      </c>
      <c r="BF2" s="146"/>
      <c r="BG2" s="146"/>
      <c r="BH2" s="145"/>
      <c r="BI2" s="144" t="s">
        <v>155</v>
      </c>
      <c r="BJ2" s="146"/>
      <c r="BK2" s="146"/>
      <c r="BL2" s="146"/>
      <c r="BM2" s="146"/>
      <c r="BN2" s="145"/>
      <c r="BO2" s="144" t="s">
        <v>156</v>
      </c>
      <c r="BP2" s="146"/>
      <c r="BQ2" s="146"/>
      <c r="BR2" s="145"/>
      <c r="BS2" s="144" t="s">
        <v>143</v>
      </c>
      <c r="BT2" s="145"/>
      <c r="BU2" s="144" t="s">
        <v>8</v>
      </c>
      <c r="BV2" s="146"/>
      <c r="BW2" s="146"/>
      <c r="BX2" s="145"/>
      <c r="BY2" s="144" t="s">
        <v>144</v>
      </c>
      <c r="BZ2" s="145"/>
      <c r="CA2" s="144" t="s">
        <v>145</v>
      </c>
      <c r="CB2" s="145"/>
      <c r="CC2" s="158" t="s">
        <v>9</v>
      </c>
      <c r="CD2" s="161" t="s">
        <v>170</v>
      </c>
      <c r="CE2" s="141" t="s">
        <v>167</v>
      </c>
      <c r="CF2" s="141" t="s">
        <v>172</v>
      </c>
      <c r="CG2" s="141" t="s">
        <v>190</v>
      </c>
      <c r="CH2" s="147" t="s">
        <v>168</v>
      </c>
    </row>
    <row r="3" spans="1:86" ht="12.75" customHeight="1">
      <c r="A3" s="150"/>
      <c r="B3" s="151"/>
      <c r="C3" s="136" t="s">
        <v>43</v>
      </c>
      <c r="D3" s="137"/>
      <c r="E3" s="137"/>
      <c r="F3" s="138"/>
      <c r="G3" s="136" t="s">
        <v>45</v>
      </c>
      <c r="H3" s="138"/>
      <c r="I3" s="136" t="s">
        <v>47</v>
      </c>
      <c r="J3" s="137"/>
      <c r="K3" s="137"/>
      <c r="L3" s="138"/>
      <c r="M3" s="136" t="s">
        <v>49</v>
      </c>
      <c r="N3" s="137"/>
      <c r="O3" s="137"/>
      <c r="P3" s="138"/>
      <c r="Q3" s="136" t="s">
        <v>51</v>
      </c>
      <c r="R3" s="137"/>
      <c r="S3" s="137"/>
      <c r="T3" s="138"/>
      <c r="U3" s="136" t="s">
        <v>53</v>
      </c>
      <c r="V3" s="137"/>
      <c r="W3" s="137"/>
      <c r="X3" s="138"/>
      <c r="Y3" s="136" t="s">
        <v>57</v>
      </c>
      <c r="Z3" s="137"/>
      <c r="AA3" s="137"/>
      <c r="AB3" s="138"/>
      <c r="AC3" s="136" t="s">
        <v>59</v>
      </c>
      <c r="AD3" s="137"/>
      <c r="AE3" s="137"/>
      <c r="AF3" s="138"/>
      <c r="AG3" s="136" t="s">
        <v>65</v>
      </c>
      <c r="AH3" s="137"/>
      <c r="AI3" s="137"/>
      <c r="AJ3" s="138"/>
      <c r="AK3" s="136" t="s">
        <v>69</v>
      </c>
      <c r="AL3" s="137"/>
      <c r="AM3" s="136" t="s">
        <v>71</v>
      </c>
      <c r="AN3" s="138"/>
      <c r="AO3" s="136" t="s">
        <v>72</v>
      </c>
      <c r="AP3" s="137"/>
      <c r="AQ3" s="137"/>
      <c r="AR3" s="138"/>
      <c r="AS3" s="136" t="s">
        <v>75</v>
      </c>
      <c r="AT3" s="137"/>
      <c r="AU3" s="137"/>
      <c r="AV3" s="138"/>
      <c r="AW3" s="139" t="s">
        <v>77</v>
      </c>
      <c r="AX3" s="140"/>
      <c r="AY3" s="136" t="s">
        <v>79</v>
      </c>
      <c r="AZ3" s="137"/>
      <c r="BA3" s="137"/>
      <c r="BB3" s="138"/>
      <c r="BC3" s="136" t="s">
        <v>81</v>
      </c>
      <c r="BD3" s="138"/>
      <c r="BE3" s="136" t="s">
        <v>83</v>
      </c>
      <c r="BF3" s="137"/>
      <c r="BG3" s="137"/>
      <c r="BH3" s="138"/>
      <c r="BI3" s="136" t="s">
        <v>91</v>
      </c>
      <c r="BJ3" s="137"/>
      <c r="BK3" s="137"/>
      <c r="BL3" s="137"/>
      <c r="BM3" s="137"/>
      <c r="BN3" s="137"/>
      <c r="BO3" s="137" t="s">
        <v>85</v>
      </c>
      <c r="BP3" s="137"/>
      <c r="BQ3" s="137"/>
      <c r="BR3" s="138"/>
      <c r="BS3" s="136" t="s">
        <v>92</v>
      </c>
      <c r="BT3" s="138"/>
      <c r="BU3" s="136" t="s">
        <v>94</v>
      </c>
      <c r="BV3" s="137"/>
      <c r="BW3" s="137"/>
      <c r="BX3" s="138"/>
      <c r="BY3" s="136" t="s">
        <v>96</v>
      </c>
      <c r="BZ3" s="138"/>
      <c r="CA3" s="136" t="s">
        <v>98</v>
      </c>
      <c r="CB3" s="138"/>
      <c r="CC3" s="159"/>
      <c r="CD3" s="162"/>
      <c r="CE3" s="142"/>
      <c r="CF3" s="142"/>
      <c r="CG3" s="142"/>
      <c r="CH3" s="147"/>
    </row>
    <row r="4" spans="1:86" ht="215.25" customHeight="1">
      <c r="A4" s="152"/>
      <c r="B4" s="153"/>
      <c r="C4" s="8" t="s">
        <v>169</v>
      </c>
      <c r="D4" s="10" t="s">
        <v>11</v>
      </c>
      <c r="E4" s="8" t="s">
        <v>0</v>
      </c>
      <c r="F4" s="9" t="s">
        <v>10</v>
      </c>
      <c r="G4" s="8" t="s">
        <v>1</v>
      </c>
      <c r="H4" s="9" t="s">
        <v>46</v>
      </c>
      <c r="I4" s="11" t="s">
        <v>139</v>
      </c>
      <c r="J4" s="8" t="s">
        <v>140</v>
      </c>
      <c r="K4" s="8" t="s">
        <v>12</v>
      </c>
      <c r="L4" s="9" t="s">
        <v>48</v>
      </c>
      <c r="M4" s="8" t="s">
        <v>13</v>
      </c>
      <c r="N4" s="12" t="s">
        <v>14</v>
      </c>
      <c r="O4" s="8" t="s">
        <v>2</v>
      </c>
      <c r="P4" s="9" t="s">
        <v>50</v>
      </c>
      <c r="Q4" s="8" t="s">
        <v>15</v>
      </c>
      <c r="R4" s="8" t="s">
        <v>16</v>
      </c>
      <c r="S4" s="11" t="s">
        <v>3</v>
      </c>
      <c r="T4" s="9" t="s">
        <v>52</v>
      </c>
      <c r="U4" s="8" t="s">
        <v>102</v>
      </c>
      <c r="V4" s="8" t="s">
        <v>54</v>
      </c>
      <c r="W4" s="8" t="s">
        <v>103</v>
      </c>
      <c r="X4" s="9" t="s">
        <v>55</v>
      </c>
      <c r="Y4" s="8" t="s">
        <v>17</v>
      </c>
      <c r="Z4" s="10" t="s">
        <v>18</v>
      </c>
      <c r="AA4" s="10" t="s">
        <v>4</v>
      </c>
      <c r="AB4" s="9" t="s">
        <v>58</v>
      </c>
      <c r="AC4" s="8" t="s">
        <v>61</v>
      </c>
      <c r="AD4" s="8" t="s">
        <v>62</v>
      </c>
      <c r="AE4" s="8" t="s">
        <v>141</v>
      </c>
      <c r="AF4" s="9" t="s">
        <v>60</v>
      </c>
      <c r="AG4" s="8" t="s">
        <v>142</v>
      </c>
      <c r="AH4" s="8" t="s">
        <v>67</v>
      </c>
      <c r="AI4" s="8" t="s">
        <v>64</v>
      </c>
      <c r="AJ4" s="9" t="s">
        <v>66</v>
      </c>
      <c r="AK4" s="8" t="s">
        <v>68</v>
      </c>
      <c r="AL4" s="9" t="s">
        <v>70</v>
      </c>
      <c r="AM4" s="8" t="s">
        <v>178</v>
      </c>
      <c r="AN4" s="9" t="s">
        <v>89</v>
      </c>
      <c r="AO4" s="8" t="s">
        <v>179</v>
      </c>
      <c r="AP4" s="10" t="s">
        <v>163</v>
      </c>
      <c r="AQ4" s="8" t="s">
        <v>164</v>
      </c>
      <c r="AR4" s="9" t="s">
        <v>73</v>
      </c>
      <c r="AS4" s="8" t="s">
        <v>180</v>
      </c>
      <c r="AT4" s="10" t="s">
        <v>165</v>
      </c>
      <c r="AU4" s="8" t="s">
        <v>173</v>
      </c>
      <c r="AV4" s="9" t="s">
        <v>76</v>
      </c>
      <c r="AW4" s="8" t="s">
        <v>181</v>
      </c>
      <c r="AX4" s="9" t="s">
        <v>78</v>
      </c>
      <c r="AY4" s="8" t="s">
        <v>19</v>
      </c>
      <c r="AZ4" s="10" t="s">
        <v>20</v>
      </c>
      <c r="BA4" s="8" t="s">
        <v>5</v>
      </c>
      <c r="BB4" s="9" t="s">
        <v>80</v>
      </c>
      <c r="BC4" s="8" t="s">
        <v>6</v>
      </c>
      <c r="BD4" s="9" t="s">
        <v>82</v>
      </c>
      <c r="BE4" s="8" t="s">
        <v>182</v>
      </c>
      <c r="BF4" s="10" t="s">
        <v>183</v>
      </c>
      <c r="BG4" s="10" t="s">
        <v>7</v>
      </c>
      <c r="BH4" s="9" t="s">
        <v>84</v>
      </c>
      <c r="BI4" s="10" t="s">
        <v>174</v>
      </c>
      <c r="BJ4" s="10" t="s">
        <v>175</v>
      </c>
      <c r="BK4" s="10" t="s">
        <v>176</v>
      </c>
      <c r="BL4" s="10" t="s">
        <v>177</v>
      </c>
      <c r="BM4" s="10" t="s">
        <v>138</v>
      </c>
      <c r="BN4" s="9" t="s">
        <v>90</v>
      </c>
      <c r="BO4" s="8" t="s">
        <v>184</v>
      </c>
      <c r="BP4" s="8" t="s">
        <v>166</v>
      </c>
      <c r="BQ4" s="8" t="s">
        <v>86</v>
      </c>
      <c r="BR4" s="9" t="s">
        <v>87</v>
      </c>
      <c r="BS4" s="8" t="s">
        <v>185</v>
      </c>
      <c r="BT4" s="9" t="s">
        <v>93</v>
      </c>
      <c r="BU4" s="8" t="s">
        <v>21</v>
      </c>
      <c r="BV4" s="10" t="s">
        <v>22</v>
      </c>
      <c r="BW4" s="10" t="s">
        <v>23</v>
      </c>
      <c r="BX4" s="9" t="s">
        <v>95</v>
      </c>
      <c r="BY4" s="8" t="s">
        <v>186</v>
      </c>
      <c r="BZ4" s="9" t="s">
        <v>97</v>
      </c>
      <c r="CA4" s="13" t="s">
        <v>145</v>
      </c>
      <c r="CB4" s="14" t="s">
        <v>99</v>
      </c>
      <c r="CC4" s="159"/>
      <c r="CD4" s="162"/>
      <c r="CE4" s="142"/>
      <c r="CF4" s="142"/>
      <c r="CG4" s="142"/>
      <c r="CH4" s="147"/>
    </row>
    <row r="5" spans="1:86" ht="26.25" customHeight="1">
      <c r="A5" s="157" t="s">
        <v>157</v>
      </c>
      <c r="B5" s="157"/>
      <c r="C5" s="6"/>
      <c r="D5" s="6"/>
      <c r="E5" s="6"/>
      <c r="F5" s="14" t="s">
        <v>44</v>
      </c>
      <c r="G5" s="6"/>
      <c r="H5" s="14" t="s">
        <v>26</v>
      </c>
      <c r="I5" s="6"/>
      <c r="J5" s="6"/>
      <c r="K5" s="6"/>
      <c r="L5" s="14" t="s">
        <v>25</v>
      </c>
      <c r="M5" s="6"/>
      <c r="N5" s="6"/>
      <c r="O5" s="6"/>
      <c r="P5" s="14" t="s">
        <v>27</v>
      </c>
      <c r="Q5" s="6"/>
      <c r="R5" s="6"/>
      <c r="S5" s="6"/>
      <c r="T5" s="14" t="s">
        <v>146</v>
      </c>
      <c r="U5" s="15"/>
      <c r="V5" s="15"/>
      <c r="W5" s="15"/>
      <c r="X5" s="14" t="s">
        <v>147</v>
      </c>
      <c r="Y5" s="6"/>
      <c r="Z5" s="15"/>
      <c r="AA5" s="6"/>
      <c r="AB5" s="14" t="s">
        <v>56</v>
      </c>
      <c r="AC5" s="15"/>
      <c r="AD5" s="15"/>
      <c r="AE5" s="15"/>
      <c r="AF5" s="14" t="s">
        <v>63</v>
      </c>
      <c r="AG5" s="6"/>
      <c r="AH5" s="6"/>
      <c r="AI5" s="6"/>
      <c r="AJ5" s="14" t="s">
        <v>158</v>
      </c>
      <c r="AK5" s="14"/>
      <c r="AL5" s="14" t="s">
        <v>24</v>
      </c>
      <c r="AM5" s="6"/>
      <c r="AN5" s="14">
        <v>0</v>
      </c>
      <c r="AO5" s="6"/>
      <c r="AP5" s="6"/>
      <c r="AQ5" s="6"/>
      <c r="AR5" s="14" t="s">
        <v>74</v>
      </c>
      <c r="AS5" s="6"/>
      <c r="AT5" s="6"/>
      <c r="AU5" s="6"/>
      <c r="AV5" s="14" t="s">
        <v>28</v>
      </c>
      <c r="AW5" s="6"/>
      <c r="AX5" s="14">
        <v>1</v>
      </c>
      <c r="AY5" s="6"/>
      <c r="AZ5" s="6"/>
      <c r="BA5" s="6"/>
      <c r="BB5" s="14">
        <v>2</v>
      </c>
      <c r="BC5" s="6"/>
      <c r="BD5" s="14" t="s">
        <v>24</v>
      </c>
      <c r="BE5" s="6"/>
      <c r="BF5" s="6"/>
      <c r="BG5" s="6"/>
      <c r="BH5" s="14">
        <v>0</v>
      </c>
      <c r="BI5" s="6"/>
      <c r="BJ5" s="6"/>
      <c r="BK5" s="99"/>
      <c r="BL5" s="6"/>
      <c r="BM5" s="6"/>
      <c r="BN5" s="14" t="s">
        <v>101</v>
      </c>
      <c r="BO5" s="6"/>
      <c r="BP5" s="6"/>
      <c r="BQ5" s="6"/>
      <c r="BR5" s="14" t="s">
        <v>88</v>
      </c>
      <c r="BS5" s="6"/>
      <c r="BT5" s="14" t="s">
        <v>24</v>
      </c>
      <c r="BU5" s="6"/>
      <c r="BV5" s="6"/>
      <c r="BW5" s="6"/>
      <c r="BX5" s="14" t="s">
        <v>24</v>
      </c>
      <c r="BY5" s="6"/>
      <c r="BZ5" s="14" t="s">
        <v>24</v>
      </c>
      <c r="CA5" s="6"/>
      <c r="CB5" s="14" t="s">
        <v>24</v>
      </c>
      <c r="CC5" s="160"/>
      <c r="CD5" s="163"/>
      <c r="CE5" s="143"/>
      <c r="CF5" s="143"/>
      <c r="CG5" s="143"/>
      <c r="CH5" s="6"/>
    </row>
    <row r="6" spans="1:86" ht="12.75" customHeight="1">
      <c r="A6" s="156" t="s">
        <v>29</v>
      </c>
      <c r="B6" s="156"/>
      <c r="C6" s="16" t="s">
        <v>31</v>
      </c>
      <c r="D6" s="16" t="s">
        <v>31</v>
      </c>
      <c r="E6" s="17" t="s">
        <v>32</v>
      </c>
      <c r="F6" s="16" t="s">
        <v>30</v>
      </c>
      <c r="G6" s="16" t="s">
        <v>33</v>
      </c>
      <c r="H6" s="16" t="s">
        <v>30</v>
      </c>
      <c r="I6" s="16" t="s">
        <v>31</v>
      </c>
      <c r="J6" s="16" t="s">
        <v>31</v>
      </c>
      <c r="K6" s="16" t="s">
        <v>32</v>
      </c>
      <c r="L6" s="16" t="s">
        <v>30</v>
      </c>
      <c r="M6" s="16" t="s">
        <v>31</v>
      </c>
      <c r="N6" s="16" t="s">
        <v>31</v>
      </c>
      <c r="O6" s="16"/>
      <c r="P6" s="16" t="s">
        <v>30</v>
      </c>
      <c r="Q6" s="16" t="s">
        <v>33</v>
      </c>
      <c r="R6" s="16" t="s">
        <v>33</v>
      </c>
      <c r="S6" s="16"/>
      <c r="T6" s="16" t="s">
        <v>30</v>
      </c>
      <c r="U6" s="16" t="s">
        <v>33</v>
      </c>
      <c r="V6" s="16" t="s">
        <v>33</v>
      </c>
      <c r="W6" s="16"/>
      <c r="X6" s="16" t="s">
        <v>30</v>
      </c>
      <c r="Y6" s="16" t="s">
        <v>33</v>
      </c>
      <c r="Z6" s="16" t="s">
        <v>33</v>
      </c>
      <c r="AA6" s="16"/>
      <c r="AB6" s="16" t="s">
        <v>30</v>
      </c>
      <c r="AC6" s="16" t="s">
        <v>31</v>
      </c>
      <c r="AD6" s="16" t="s">
        <v>31</v>
      </c>
      <c r="AE6" s="16"/>
      <c r="AF6" s="16" t="s">
        <v>30</v>
      </c>
      <c r="AG6" s="16" t="s">
        <v>31</v>
      </c>
      <c r="AH6" s="16" t="s">
        <v>31</v>
      </c>
      <c r="AI6" s="16"/>
      <c r="AJ6" s="16" t="s">
        <v>30</v>
      </c>
      <c r="AK6" s="16"/>
      <c r="AL6" s="16" t="s">
        <v>30</v>
      </c>
      <c r="AM6" s="16" t="s">
        <v>31</v>
      </c>
      <c r="AN6" s="16" t="s">
        <v>30</v>
      </c>
      <c r="AO6" s="16" t="s">
        <v>31</v>
      </c>
      <c r="AP6" s="16" t="s">
        <v>31</v>
      </c>
      <c r="AQ6" s="16"/>
      <c r="AR6" s="16" t="s">
        <v>30</v>
      </c>
      <c r="AS6" s="16" t="s">
        <v>31</v>
      </c>
      <c r="AT6" s="16" t="s">
        <v>31</v>
      </c>
      <c r="AU6" s="16"/>
      <c r="AV6" s="16" t="s">
        <v>30</v>
      </c>
      <c r="AW6" s="16" t="s">
        <v>31</v>
      </c>
      <c r="AX6" s="16" t="s">
        <v>30</v>
      </c>
      <c r="AY6" s="16"/>
      <c r="AZ6" s="16"/>
      <c r="BA6" s="16"/>
      <c r="BB6" s="16" t="s">
        <v>30</v>
      </c>
      <c r="BC6" s="16"/>
      <c r="BD6" s="16" t="s">
        <v>30</v>
      </c>
      <c r="BE6" s="16" t="s">
        <v>31</v>
      </c>
      <c r="BF6" s="16" t="s">
        <v>31</v>
      </c>
      <c r="BG6" s="16"/>
      <c r="BH6" s="16" t="s">
        <v>30</v>
      </c>
      <c r="BI6" s="16" t="s">
        <v>31</v>
      </c>
      <c r="BJ6" s="16" t="s">
        <v>31</v>
      </c>
      <c r="BK6" s="16" t="s">
        <v>31</v>
      </c>
      <c r="BL6" s="16" t="s">
        <v>31</v>
      </c>
      <c r="BM6" s="16"/>
      <c r="BN6" s="16"/>
      <c r="BO6" s="16" t="s">
        <v>31</v>
      </c>
      <c r="BP6" s="16" t="s">
        <v>31</v>
      </c>
      <c r="BQ6" s="16"/>
      <c r="BR6" s="16" t="s">
        <v>30</v>
      </c>
      <c r="BS6" s="16"/>
      <c r="BT6" s="16" t="s">
        <v>30</v>
      </c>
      <c r="BU6" s="16"/>
      <c r="BV6" s="16"/>
      <c r="BW6" s="16"/>
      <c r="BX6" s="16" t="s">
        <v>30</v>
      </c>
      <c r="BY6" s="16"/>
      <c r="BZ6" s="16" t="s">
        <v>30</v>
      </c>
      <c r="CA6" s="16"/>
      <c r="CB6" s="16" t="s">
        <v>30</v>
      </c>
      <c r="CC6" s="7" t="s">
        <v>30</v>
      </c>
      <c r="CD6" s="118" t="s">
        <v>30</v>
      </c>
      <c r="CE6" s="16"/>
      <c r="CF6" s="7" t="s">
        <v>30</v>
      </c>
      <c r="CG6" s="130" t="s">
        <v>31</v>
      </c>
      <c r="CH6" s="16" t="s">
        <v>31</v>
      </c>
    </row>
    <row r="7" spans="1:88" ht="12.75" customHeight="1">
      <c r="A7" s="18">
        <v>1</v>
      </c>
      <c r="B7" s="18" t="s">
        <v>106</v>
      </c>
      <c r="C7" s="20">
        <v>13521225754.64</v>
      </c>
      <c r="D7" s="21">
        <v>13624140643.06</v>
      </c>
      <c r="E7" s="103">
        <f>ROUND(C7/D7,3)</f>
        <v>0.992</v>
      </c>
      <c r="F7" s="22">
        <f>IF(E7&gt;=95%,1.5,IF(E7&gt;=90%,1,0))</f>
        <v>1.5</v>
      </c>
      <c r="G7" s="25">
        <v>10</v>
      </c>
      <c r="H7" s="22">
        <f aca="true" t="shared" si="0" ref="H7:H17">IF(G7&lt;=4,1,0)</f>
        <v>0</v>
      </c>
      <c r="I7" s="23">
        <v>3354143027.12</v>
      </c>
      <c r="J7" s="24">
        <v>3284989009.91</v>
      </c>
      <c r="K7" s="108">
        <f>ROUND(I7/J7,3)</f>
        <v>1.021</v>
      </c>
      <c r="L7" s="22">
        <f>IF(K7&gt;=100%,1,0)</f>
        <v>1</v>
      </c>
      <c r="M7" s="20">
        <v>3354143027.12</v>
      </c>
      <c r="N7" s="21">
        <v>2997468500</v>
      </c>
      <c r="O7" s="26">
        <f>ABS(M7-N7)/N7</f>
        <v>0.1189919183871323</v>
      </c>
      <c r="P7" s="19">
        <f>IF(O7&lt;=0.1,1,0)</f>
        <v>0</v>
      </c>
      <c r="Q7" s="94">
        <v>0</v>
      </c>
      <c r="R7" s="94">
        <v>1</v>
      </c>
      <c r="S7" s="100">
        <f>Q7/R7</f>
        <v>0</v>
      </c>
      <c r="T7" s="22">
        <f>IF(S7&gt;0.75,1,0)</f>
        <v>0</v>
      </c>
      <c r="U7" s="94">
        <v>1</v>
      </c>
      <c r="V7" s="94">
        <v>1</v>
      </c>
      <c r="W7" s="100">
        <f>U7/V7</f>
        <v>1</v>
      </c>
      <c r="X7" s="22">
        <f>IF(W7&gt;0.5,1,0)</f>
        <v>1</v>
      </c>
      <c r="Y7" s="94">
        <v>86</v>
      </c>
      <c r="Z7" s="94">
        <v>117</v>
      </c>
      <c r="AA7" s="100">
        <f>Y7/Z7</f>
        <v>0.7350427350427351</v>
      </c>
      <c r="AB7" s="22">
        <f>IF(AA7&gt;=90%,2,IF(AA7&gt;80%,1,0))</f>
        <v>0</v>
      </c>
      <c r="AC7" s="27">
        <v>24505630.52</v>
      </c>
      <c r="AD7" s="27">
        <v>10496943374.7</v>
      </c>
      <c r="AE7" s="96">
        <f aca="true" t="shared" si="1" ref="AE7:AE38">AC7/AD7</f>
        <v>0.0023345491773409098</v>
      </c>
      <c r="AF7" s="22">
        <f>IF(AE7&gt;0.5,1,0)</f>
        <v>0</v>
      </c>
      <c r="AG7" s="23">
        <v>893571350.45</v>
      </c>
      <c r="AH7" s="23">
        <v>13624140643.06</v>
      </c>
      <c r="AI7" s="100">
        <f>ROUND(AG7/AH7,4)</f>
        <v>0.0656</v>
      </c>
      <c r="AJ7" s="22">
        <f>IF(AI7&lt;=1%,1,IF(AI7&lt;=2%,0.5,0))</f>
        <v>0</v>
      </c>
      <c r="AK7" s="35" t="s">
        <v>104</v>
      </c>
      <c r="AL7" s="19">
        <f>IF(AK7="да",1,0)</f>
        <v>0</v>
      </c>
      <c r="AM7" s="28">
        <v>0</v>
      </c>
      <c r="AN7" s="22">
        <f>IF(AM7=0,3,0)</f>
        <v>3</v>
      </c>
      <c r="AO7" s="23">
        <v>385377.17</v>
      </c>
      <c r="AP7" s="23">
        <v>489272.06</v>
      </c>
      <c r="AQ7" s="96">
        <f>ROUND(AO7/AP7,4)</f>
        <v>0.7877</v>
      </c>
      <c r="AR7" s="22">
        <f>IF(AQ7&lt;1,1,0)</f>
        <v>1</v>
      </c>
      <c r="AS7" s="23">
        <v>3354143027.12</v>
      </c>
      <c r="AT7" s="23">
        <v>3095796182.29</v>
      </c>
      <c r="AU7" s="110">
        <f>ROUND(AS7/AT7,3)</f>
        <v>1.083</v>
      </c>
      <c r="AV7" s="22">
        <f aca="true" t="shared" si="2" ref="AV7:AV37">IF(AU7&gt;=$AU$38,1.5,IF(AU7&lt;=100%,0,1))</f>
        <v>1.5</v>
      </c>
      <c r="AW7" s="29">
        <v>0</v>
      </c>
      <c r="AX7" s="30">
        <f aca="true" t="shared" si="3" ref="AX7:AX37">IF(AW7=0,1,0)</f>
        <v>1</v>
      </c>
      <c r="AY7" s="31">
        <v>1</v>
      </c>
      <c r="AZ7" s="31">
        <v>1</v>
      </c>
      <c r="BA7" s="117">
        <f>AZ7+AY7</f>
        <v>2</v>
      </c>
      <c r="BB7" s="30">
        <f aca="true" t="shared" si="4" ref="BB7:BB37">BA7</f>
        <v>2</v>
      </c>
      <c r="BC7" s="28" t="s">
        <v>104</v>
      </c>
      <c r="BD7" s="19">
        <f>IF(BC7="да",1,0)</f>
        <v>0</v>
      </c>
      <c r="BE7" s="19">
        <v>0</v>
      </c>
      <c r="BF7" s="32">
        <v>8012137865.34</v>
      </c>
      <c r="BG7" s="112">
        <f>BE7/BF7</f>
        <v>0</v>
      </c>
      <c r="BH7" s="33">
        <f>IF(BG7&gt;0,0,1)</f>
        <v>1</v>
      </c>
      <c r="BI7" s="21">
        <v>930593364.18</v>
      </c>
      <c r="BJ7" s="21">
        <v>1166805432.09</v>
      </c>
      <c r="BK7" s="21">
        <v>1023827549.79</v>
      </c>
      <c r="BL7" s="21">
        <v>1597205081.21</v>
      </c>
      <c r="BM7" s="98">
        <f aca="true" t="shared" si="5" ref="BM7:BM37">BL7/((BI7+BJ7+BK7)/3)</f>
        <v>1.535170702912518</v>
      </c>
      <c r="BN7" s="33">
        <f>IF(BM7&lt;110%,1,0)</f>
        <v>0</v>
      </c>
      <c r="BO7" s="36">
        <v>629358532.98</v>
      </c>
      <c r="BP7" s="36">
        <v>429031648.6</v>
      </c>
      <c r="BQ7" s="102">
        <f>ROUND(BO7/BP7,3)</f>
        <v>1.467</v>
      </c>
      <c r="BR7" s="22">
        <f>IF(BQ7&gt;1,1,0)</f>
        <v>1</v>
      </c>
      <c r="BS7" s="34" t="s">
        <v>24</v>
      </c>
      <c r="BT7" s="19">
        <f>IF(BS7="да",1,0)</f>
        <v>1</v>
      </c>
      <c r="BU7" s="35" t="s">
        <v>24</v>
      </c>
      <c r="BV7" s="35" t="s">
        <v>24</v>
      </c>
      <c r="BW7" s="36" t="s">
        <v>24</v>
      </c>
      <c r="BX7" s="33">
        <f>IF(AND(BU7="да",BV7="да",BW7="да"),1,0)</f>
        <v>1</v>
      </c>
      <c r="BY7" s="35" t="s">
        <v>24</v>
      </c>
      <c r="BZ7" s="22">
        <f>IF(BY7="да",1,0)</f>
        <v>1</v>
      </c>
      <c r="CA7" s="35" t="s">
        <v>24</v>
      </c>
      <c r="CB7" s="22">
        <f>IF(CA7="да",1,0)</f>
        <v>1</v>
      </c>
      <c r="CC7" s="120">
        <f aca="true" t="shared" si="6" ref="CC7:CC37">F7+H7+L7+P7+T7+X7+AB7+AF7+AJ7+AL7+AN7+AR7+AV7+AX7+BB7+BD7+BH7+BN7+BR7+BT7+BX7+BZ7+CB7</f>
        <v>18</v>
      </c>
      <c r="CD7" s="119">
        <v>0</v>
      </c>
      <c r="CE7" s="37" t="s">
        <v>128</v>
      </c>
      <c r="CF7" s="133">
        <v>23</v>
      </c>
      <c r="CG7" s="129"/>
      <c r="CH7" s="38">
        <f>ROUND(CF7/SUM($CF$7:$CF$13)*4000000,0)</f>
        <v>619529</v>
      </c>
      <c r="CJ7" s="126"/>
    </row>
    <row r="8" spans="1:88" ht="12.75" customHeight="1">
      <c r="A8" s="18">
        <v>2</v>
      </c>
      <c r="B8" s="37" t="s">
        <v>107</v>
      </c>
      <c r="C8" s="39">
        <v>1657354871.57</v>
      </c>
      <c r="D8" s="40">
        <v>1666357502.56</v>
      </c>
      <c r="E8" s="103">
        <f aca="true" t="shared" si="7" ref="E8:E37">ROUND(C8/D8,3)</f>
        <v>0.995</v>
      </c>
      <c r="F8" s="22">
        <f aca="true" t="shared" si="8" ref="F8:F37">IF(E8&gt;=95%,1.5,IF(E8&gt;=90%,1,0))</f>
        <v>1.5</v>
      </c>
      <c r="G8" s="42">
        <v>9</v>
      </c>
      <c r="H8" s="22">
        <f t="shared" si="0"/>
        <v>0</v>
      </c>
      <c r="I8" s="41">
        <v>515272328.15</v>
      </c>
      <c r="J8" s="24">
        <v>493883898.46</v>
      </c>
      <c r="K8" s="108">
        <f aca="true" t="shared" si="9" ref="K8:K38">ROUND(I8/J8,3)</f>
        <v>1.043</v>
      </c>
      <c r="L8" s="22">
        <f aca="true" t="shared" si="10" ref="L8:L37">IF(K8&gt;=100%,1,0)</f>
        <v>1</v>
      </c>
      <c r="M8" s="39">
        <v>515272328.15</v>
      </c>
      <c r="N8" s="21">
        <v>476883575</v>
      </c>
      <c r="O8" s="26">
        <f aca="true" t="shared" si="11" ref="O8:O38">ABS(M8-N8)/N8</f>
        <v>0.08049921440468982</v>
      </c>
      <c r="P8" s="43">
        <f aca="true" t="shared" si="12" ref="P8:P37">IF(O8&lt;=0.1,1,0)</f>
        <v>1</v>
      </c>
      <c r="Q8" s="94">
        <v>0</v>
      </c>
      <c r="R8" s="94">
        <v>1</v>
      </c>
      <c r="S8" s="100">
        <f aca="true" t="shared" si="13" ref="S8:S37">Q8/R8</f>
        <v>0</v>
      </c>
      <c r="T8" s="22">
        <f aca="true" t="shared" si="14" ref="T8:T37">IF(S8&gt;0.75,1,0)</f>
        <v>0</v>
      </c>
      <c r="U8" s="94">
        <v>1</v>
      </c>
      <c r="V8" s="94">
        <v>1</v>
      </c>
      <c r="W8" s="100">
        <f aca="true" t="shared" si="15" ref="W8:W36">U8/V8</f>
        <v>1</v>
      </c>
      <c r="X8" s="22">
        <f aca="true" t="shared" si="16" ref="X8:X37">IF(W8&gt;0.5,1,0)</f>
        <v>1</v>
      </c>
      <c r="Y8" s="94">
        <v>65</v>
      </c>
      <c r="Z8" s="94">
        <v>117</v>
      </c>
      <c r="AA8" s="100">
        <f aca="true" t="shared" si="17" ref="AA8:AA37">Y8/Z8</f>
        <v>0.5555555555555556</v>
      </c>
      <c r="AB8" s="22">
        <f aca="true" t="shared" si="18" ref="AB8:AB37">IF(AA8&gt;=90%,2,IF(AA8&gt;80%,1,0))</f>
        <v>0</v>
      </c>
      <c r="AC8" s="27">
        <v>4000000</v>
      </c>
      <c r="AD8" s="27">
        <v>1204336218.49</v>
      </c>
      <c r="AE8" s="96">
        <f t="shared" si="1"/>
        <v>0.0033213316502390096</v>
      </c>
      <c r="AF8" s="22">
        <f>IF(AE8&gt;0.5,1,0)</f>
        <v>0</v>
      </c>
      <c r="AG8" s="23">
        <v>85181132.25</v>
      </c>
      <c r="AH8" s="23">
        <v>1666357502.56</v>
      </c>
      <c r="AI8" s="100">
        <f aca="true" t="shared" si="19" ref="AI8:AI38">ROUND(AG8/AH8,3)</f>
        <v>0.051</v>
      </c>
      <c r="AJ8" s="22">
        <f aca="true" t="shared" si="20" ref="AJ8:AJ37">IF(AI8&lt;=1%,1,IF(AI8&lt;=2%,0.5,0))</f>
        <v>0</v>
      </c>
      <c r="AK8" s="35" t="s">
        <v>24</v>
      </c>
      <c r="AL8" s="19">
        <f aca="true" t="shared" si="21" ref="AL8:AL37">IF(AK8="да",1,0)</f>
        <v>1</v>
      </c>
      <c r="AM8" s="44">
        <v>0</v>
      </c>
      <c r="AN8" s="22">
        <f aca="true" t="shared" si="22" ref="AN8:AN37">IF(AM8=0,3,0)</f>
        <v>3</v>
      </c>
      <c r="AO8" s="23">
        <v>48393.89</v>
      </c>
      <c r="AP8" s="41">
        <v>36608.59</v>
      </c>
      <c r="AQ8" s="96">
        <f aca="true" t="shared" si="23" ref="AQ8:AQ37">ROUND(AO8/AP8,4)</f>
        <v>1.3219</v>
      </c>
      <c r="AR8" s="22">
        <f aca="true" t="shared" si="24" ref="AR8:AR37">IF(AQ8&lt;1,1,0)</f>
        <v>0</v>
      </c>
      <c r="AS8" s="41">
        <v>515272328.15</v>
      </c>
      <c r="AT8" s="41">
        <v>558043276.37</v>
      </c>
      <c r="AU8" s="110">
        <f aca="true" t="shared" si="25" ref="AU8:AU37">ROUND(AS8/AT8,3)</f>
        <v>0.923</v>
      </c>
      <c r="AV8" s="22">
        <f t="shared" si="2"/>
        <v>0</v>
      </c>
      <c r="AW8" s="45">
        <v>0</v>
      </c>
      <c r="AX8" s="30">
        <f t="shared" si="3"/>
        <v>1</v>
      </c>
      <c r="AY8" s="31">
        <v>1</v>
      </c>
      <c r="AZ8" s="46">
        <v>1</v>
      </c>
      <c r="BA8" s="115">
        <f aca="true" t="shared" si="26" ref="BA8:BA37">AZ8+AY8</f>
        <v>2</v>
      </c>
      <c r="BB8" s="30">
        <f t="shared" si="4"/>
        <v>2</v>
      </c>
      <c r="BC8" s="44" t="s">
        <v>24</v>
      </c>
      <c r="BD8" s="19">
        <f aca="true" t="shared" si="27" ref="BD8:BD38">IF(BC8="да",1,0)</f>
        <v>1</v>
      </c>
      <c r="BE8" s="19">
        <v>0</v>
      </c>
      <c r="BF8" s="47">
        <v>918881616.88</v>
      </c>
      <c r="BG8" s="113">
        <f aca="true" t="shared" si="28" ref="BG8:BG37">BE8/BF8</f>
        <v>0</v>
      </c>
      <c r="BH8" s="33">
        <f aca="true" t="shared" si="29" ref="BH8:BH37">IF(BG8&gt;0,0,1)</f>
        <v>1</v>
      </c>
      <c r="BI8" s="21">
        <v>109796867.41</v>
      </c>
      <c r="BJ8" s="21">
        <v>149308548.92</v>
      </c>
      <c r="BK8" s="21">
        <v>115086232.1</v>
      </c>
      <c r="BL8" s="21">
        <v>288103105</v>
      </c>
      <c r="BM8" s="98">
        <f t="shared" si="5"/>
        <v>2.3098038628771973</v>
      </c>
      <c r="BN8" s="33">
        <f aca="true" t="shared" si="30" ref="BN8:BN37">IF(BM8&lt;110%,1,0)</f>
        <v>0</v>
      </c>
      <c r="BO8" s="21">
        <v>37229568.28</v>
      </c>
      <c r="BP8" s="21">
        <v>26735750.6</v>
      </c>
      <c r="BQ8" s="102">
        <f aca="true" t="shared" si="31" ref="BQ8:BQ37">ROUND(BO8/BP8,3)</f>
        <v>1.393</v>
      </c>
      <c r="BR8" s="22">
        <f aca="true" t="shared" si="32" ref="BR8:BR37">IF(BQ8&gt;1,1,0)</f>
        <v>1</v>
      </c>
      <c r="BS8" s="48" t="s">
        <v>24</v>
      </c>
      <c r="BT8" s="19">
        <f aca="true" t="shared" si="33" ref="BT8:BT38">IF(BS8="да",1,0)</f>
        <v>1</v>
      </c>
      <c r="BU8" s="35" t="s">
        <v>24</v>
      </c>
      <c r="BV8" s="35" t="s">
        <v>24</v>
      </c>
      <c r="BW8" s="36" t="s">
        <v>24</v>
      </c>
      <c r="BX8" s="33">
        <f>IF(AND(BU8="да",BV8="да",BW8="да"),1,0)</f>
        <v>1</v>
      </c>
      <c r="BY8" s="49" t="s">
        <v>24</v>
      </c>
      <c r="BZ8" s="50">
        <f aca="true" t="shared" si="34" ref="BZ8:BZ38">IF(BY8="да",1,0)</f>
        <v>1</v>
      </c>
      <c r="CA8" s="49" t="s">
        <v>24</v>
      </c>
      <c r="CB8" s="50">
        <f aca="true" t="shared" si="35" ref="CB8:CB38">IF(CA8="да",1,0)</f>
        <v>1</v>
      </c>
      <c r="CC8" s="120">
        <f t="shared" si="6"/>
        <v>18.5</v>
      </c>
      <c r="CD8" s="119">
        <v>0</v>
      </c>
      <c r="CE8" s="37" t="s">
        <v>132</v>
      </c>
      <c r="CF8" s="104">
        <v>23</v>
      </c>
      <c r="CG8" s="129"/>
      <c r="CH8" s="38">
        <f aca="true" t="shared" si="36" ref="CH8:CH13">ROUND(CF8/SUM($CF$7:$CF$13)*4000000,0)</f>
        <v>619529</v>
      </c>
      <c r="CJ8" s="126"/>
    </row>
    <row r="9" spans="1:89" ht="12.75" customHeight="1">
      <c r="A9" s="18">
        <v>3</v>
      </c>
      <c r="B9" s="37" t="s">
        <v>108</v>
      </c>
      <c r="C9" s="39">
        <v>1158794870.7</v>
      </c>
      <c r="D9" s="40">
        <v>1165939833.36</v>
      </c>
      <c r="E9" s="103">
        <f t="shared" si="7"/>
        <v>0.994</v>
      </c>
      <c r="F9" s="22">
        <f t="shared" si="8"/>
        <v>1.5</v>
      </c>
      <c r="G9" s="42">
        <v>13</v>
      </c>
      <c r="H9" s="22">
        <f t="shared" si="0"/>
        <v>0</v>
      </c>
      <c r="I9" s="41">
        <v>280509410.98</v>
      </c>
      <c r="J9" s="24">
        <v>274898364.84</v>
      </c>
      <c r="K9" s="108">
        <f t="shared" si="9"/>
        <v>1.02</v>
      </c>
      <c r="L9" s="22">
        <f t="shared" si="10"/>
        <v>1</v>
      </c>
      <c r="M9" s="39">
        <v>280509410.98</v>
      </c>
      <c r="N9" s="21">
        <v>265245000</v>
      </c>
      <c r="O9" s="26">
        <f t="shared" si="11"/>
        <v>0.05754834579351173</v>
      </c>
      <c r="P9" s="43">
        <f t="shared" si="12"/>
        <v>1</v>
      </c>
      <c r="Q9" s="94">
        <v>1</v>
      </c>
      <c r="R9" s="94">
        <v>1</v>
      </c>
      <c r="S9" s="100">
        <f t="shared" si="13"/>
        <v>1</v>
      </c>
      <c r="T9" s="22">
        <f t="shared" si="14"/>
        <v>1</v>
      </c>
      <c r="U9" s="94">
        <v>1</v>
      </c>
      <c r="V9" s="94">
        <v>1</v>
      </c>
      <c r="W9" s="100">
        <f t="shared" si="15"/>
        <v>1</v>
      </c>
      <c r="X9" s="22">
        <f t="shared" si="16"/>
        <v>1</v>
      </c>
      <c r="Y9" s="94">
        <v>92</v>
      </c>
      <c r="Z9" s="94">
        <v>117</v>
      </c>
      <c r="AA9" s="100">
        <f t="shared" si="17"/>
        <v>0.7863247863247863</v>
      </c>
      <c r="AB9" s="22">
        <f t="shared" si="18"/>
        <v>0</v>
      </c>
      <c r="AC9" s="27">
        <v>400000</v>
      </c>
      <c r="AD9" s="27">
        <v>1031249710.55</v>
      </c>
      <c r="AE9" s="96">
        <f t="shared" si="1"/>
        <v>0.0003878788967481665</v>
      </c>
      <c r="AF9" s="22">
        <f>IF(AE9&gt;0.5,1,0)</f>
        <v>0</v>
      </c>
      <c r="AG9" s="23">
        <v>37794328.34</v>
      </c>
      <c r="AH9" s="23">
        <v>1165939833.36</v>
      </c>
      <c r="AI9" s="100">
        <f t="shared" si="19"/>
        <v>0.032</v>
      </c>
      <c r="AJ9" s="22">
        <f t="shared" si="20"/>
        <v>0</v>
      </c>
      <c r="AK9" s="35" t="s">
        <v>104</v>
      </c>
      <c r="AL9" s="19">
        <f t="shared" si="21"/>
        <v>0</v>
      </c>
      <c r="AM9" s="44">
        <v>0</v>
      </c>
      <c r="AN9" s="22">
        <f t="shared" si="22"/>
        <v>3</v>
      </c>
      <c r="AO9" s="23">
        <v>95939.97</v>
      </c>
      <c r="AP9" s="41">
        <v>91026.79</v>
      </c>
      <c r="AQ9" s="96">
        <f t="shared" si="23"/>
        <v>1.054</v>
      </c>
      <c r="AR9" s="22">
        <f t="shared" si="24"/>
        <v>0</v>
      </c>
      <c r="AS9" s="41">
        <v>280509410.98</v>
      </c>
      <c r="AT9" s="41">
        <v>271667518.01</v>
      </c>
      <c r="AU9" s="110">
        <f t="shared" si="25"/>
        <v>1.033</v>
      </c>
      <c r="AV9" s="22">
        <f t="shared" si="2"/>
        <v>1</v>
      </c>
      <c r="AW9" s="45">
        <v>0</v>
      </c>
      <c r="AX9" s="30">
        <f t="shared" si="3"/>
        <v>1</v>
      </c>
      <c r="AY9" s="31">
        <v>1</v>
      </c>
      <c r="AZ9" s="46">
        <v>1</v>
      </c>
      <c r="BA9" s="115">
        <f t="shared" si="26"/>
        <v>2</v>
      </c>
      <c r="BB9" s="30">
        <f t="shared" si="4"/>
        <v>2</v>
      </c>
      <c r="BC9" s="44" t="s">
        <v>104</v>
      </c>
      <c r="BD9" s="19">
        <f t="shared" si="27"/>
        <v>0</v>
      </c>
      <c r="BE9" s="19">
        <v>0</v>
      </c>
      <c r="BF9" s="47">
        <v>654849065.76</v>
      </c>
      <c r="BG9" s="113">
        <f t="shared" si="28"/>
        <v>0</v>
      </c>
      <c r="BH9" s="33">
        <f t="shared" si="29"/>
        <v>1</v>
      </c>
      <c r="BI9" s="21">
        <v>103602075.52</v>
      </c>
      <c r="BJ9" s="21">
        <v>128108189.89</v>
      </c>
      <c r="BK9" s="21">
        <v>95123901.07</v>
      </c>
      <c r="BL9" s="21">
        <v>146462272.78</v>
      </c>
      <c r="BM9" s="98">
        <f t="shared" si="5"/>
        <v>1.3443723557796623</v>
      </c>
      <c r="BN9" s="33">
        <f t="shared" si="30"/>
        <v>0</v>
      </c>
      <c r="BO9" s="21">
        <v>33134072.26</v>
      </c>
      <c r="BP9" s="21">
        <v>31380582.4</v>
      </c>
      <c r="BQ9" s="102">
        <f t="shared" si="31"/>
        <v>1.056</v>
      </c>
      <c r="BR9" s="22">
        <f t="shared" si="32"/>
        <v>1</v>
      </c>
      <c r="BS9" s="48" t="s">
        <v>24</v>
      </c>
      <c r="BT9" s="19">
        <f t="shared" si="33"/>
        <v>1</v>
      </c>
      <c r="BU9" s="35" t="s">
        <v>24</v>
      </c>
      <c r="BV9" s="35" t="s">
        <v>24</v>
      </c>
      <c r="BW9" s="36" t="s">
        <v>24</v>
      </c>
      <c r="BX9" s="33">
        <f aca="true" t="shared" si="37" ref="BX9:BX37">IF(AND(BU9="да",BV9="да",BW9="да"),1,0)</f>
        <v>1</v>
      </c>
      <c r="BY9" s="49" t="s">
        <v>24</v>
      </c>
      <c r="BZ9" s="50">
        <f t="shared" si="34"/>
        <v>1</v>
      </c>
      <c r="CA9" s="49" t="s">
        <v>187</v>
      </c>
      <c r="CB9" s="50">
        <f t="shared" si="35"/>
        <v>0</v>
      </c>
      <c r="CC9" s="120">
        <f t="shared" si="6"/>
        <v>17.5</v>
      </c>
      <c r="CD9" s="119">
        <f aca="true" t="shared" si="38" ref="CD9:CD37">CC9</f>
        <v>17.5</v>
      </c>
      <c r="CE9" s="18" t="s">
        <v>117</v>
      </c>
      <c r="CF9" s="133">
        <v>21.5</v>
      </c>
      <c r="CG9" s="129"/>
      <c r="CH9" s="38">
        <f t="shared" si="36"/>
        <v>579125</v>
      </c>
      <c r="CJ9" s="126"/>
      <c r="CK9" s="55"/>
    </row>
    <row r="10" spans="1:88" ht="12.75" customHeight="1">
      <c r="A10" s="18">
        <v>4</v>
      </c>
      <c r="B10" s="37" t="s">
        <v>109</v>
      </c>
      <c r="C10" s="39">
        <v>402593026.1</v>
      </c>
      <c r="D10" s="40">
        <v>406175544.28</v>
      </c>
      <c r="E10" s="103">
        <f t="shared" si="7"/>
        <v>0.991</v>
      </c>
      <c r="F10" s="22">
        <f t="shared" si="8"/>
        <v>1.5</v>
      </c>
      <c r="G10" s="42">
        <v>6</v>
      </c>
      <c r="H10" s="22">
        <f t="shared" si="0"/>
        <v>0</v>
      </c>
      <c r="I10" s="41">
        <v>108811878.61</v>
      </c>
      <c r="J10" s="24">
        <v>107590652.5</v>
      </c>
      <c r="K10" s="108">
        <f t="shared" si="9"/>
        <v>1.011</v>
      </c>
      <c r="L10" s="22">
        <f t="shared" si="10"/>
        <v>1</v>
      </c>
      <c r="M10" s="39">
        <v>108811878.61</v>
      </c>
      <c r="N10" s="21">
        <v>117061883</v>
      </c>
      <c r="O10" s="26">
        <f t="shared" si="11"/>
        <v>0.07047558247461302</v>
      </c>
      <c r="P10" s="43">
        <f t="shared" si="12"/>
        <v>1</v>
      </c>
      <c r="Q10" s="94">
        <v>1</v>
      </c>
      <c r="R10" s="94">
        <v>1</v>
      </c>
      <c r="S10" s="100">
        <f t="shared" si="13"/>
        <v>1</v>
      </c>
      <c r="T10" s="22">
        <f t="shared" si="14"/>
        <v>1</v>
      </c>
      <c r="U10" s="94">
        <v>1</v>
      </c>
      <c r="V10" s="94">
        <v>1</v>
      </c>
      <c r="W10" s="100">
        <f t="shared" si="15"/>
        <v>1</v>
      </c>
      <c r="X10" s="22">
        <f t="shared" si="16"/>
        <v>1</v>
      </c>
      <c r="Y10" s="94">
        <v>93</v>
      </c>
      <c r="Z10" s="94">
        <v>117</v>
      </c>
      <c r="AA10" s="100">
        <f t="shared" si="17"/>
        <v>0.7948717948717948</v>
      </c>
      <c r="AB10" s="22">
        <f t="shared" si="18"/>
        <v>0</v>
      </c>
      <c r="AC10" s="27">
        <v>250000</v>
      </c>
      <c r="AD10" s="27">
        <v>324962337.93</v>
      </c>
      <c r="AE10" s="96">
        <f t="shared" si="1"/>
        <v>0.0007693199205560012</v>
      </c>
      <c r="AF10" s="22">
        <f>IF(AE10&gt;0.5,1,0)</f>
        <v>0</v>
      </c>
      <c r="AG10" s="23">
        <v>26821373.84</v>
      </c>
      <c r="AH10" s="23">
        <v>406175544.28</v>
      </c>
      <c r="AI10" s="100">
        <f t="shared" si="19"/>
        <v>0.066</v>
      </c>
      <c r="AJ10" s="22">
        <f t="shared" si="20"/>
        <v>0</v>
      </c>
      <c r="AK10" s="35" t="s">
        <v>104</v>
      </c>
      <c r="AL10" s="19">
        <f t="shared" si="21"/>
        <v>0</v>
      </c>
      <c r="AM10" s="44">
        <v>0</v>
      </c>
      <c r="AN10" s="22">
        <f t="shared" si="22"/>
        <v>3</v>
      </c>
      <c r="AO10" s="23">
        <v>5460.41</v>
      </c>
      <c r="AP10" s="41">
        <v>6038.7</v>
      </c>
      <c r="AQ10" s="96">
        <f t="shared" si="23"/>
        <v>0.9042</v>
      </c>
      <c r="AR10" s="22">
        <f t="shared" si="24"/>
        <v>1</v>
      </c>
      <c r="AS10" s="41">
        <v>108811878.61</v>
      </c>
      <c r="AT10" s="41">
        <v>115910823.5</v>
      </c>
      <c r="AU10" s="110">
        <f t="shared" si="25"/>
        <v>0.939</v>
      </c>
      <c r="AV10" s="22">
        <f t="shared" si="2"/>
        <v>0</v>
      </c>
      <c r="AW10" s="45">
        <v>0</v>
      </c>
      <c r="AX10" s="30">
        <f t="shared" si="3"/>
        <v>1</v>
      </c>
      <c r="AY10" s="31">
        <v>1</v>
      </c>
      <c r="AZ10" s="46">
        <v>1</v>
      </c>
      <c r="BA10" s="115">
        <f t="shared" si="26"/>
        <v>2</v>
      </c>
      <c r="BB10" s="30">
        <f t="shared" si="4"/>
        <v>2</v>
      </c>
      <c r="BC10" s="44" t="s">
        <v>104</v>
      </c>
      <c r="BD10" s="19">
        <f t="shared" si="27"/>
        <v>0</v>
      </c>
      <c r="BE10" s="19">
        <v>0</v>
      </c>
      <c r="BF10" s="47">
        <v>218428484.29</v>
      </c>
      <c r="BG10" s="113">
        <f t="shared" si="28"/>
        <v>0</v>
      </c>
      <c r="BH10" s="33">
        <f t="shared" si="29"/>
        <v>1</v>
      </c>
      <c r="BI10" s="21">
        <v>31375786.11</v>
      </c>
      <c r="BJ10" s="21">
        <v>39796907.96</v>
      </c>
      <c r="BK10" s="21">
        <v>35974793.07</v>
      </c>
      <c r="BL10" s="21">
        <v>53778199.01</v>
      </c>
      <c r="BM10" s="98">
        <f t="shared" si="5"/>
        <v>1.5057245049452126</v>
      </c>
      <c r="BN10" s="33">
        <f t="shared" si="30"/>
        <v>0</v>
      </c>
      <c r="BO10" s="21">
        <v>17704092.27</v>
      </c>
      <c r="BP10" s="21">
        <v>15723779.7</v>
      </c>
      <c r="BQ10" s="102">
        <f t="shared" si="31"/>
        <v>1.126</v>
      </c>
      <c r="BR10" s="22">
        <f t="shared" si="32"/>
        <v>1</v>
      </c>
      <c r="BS10" s="48" t="s">
        <v>24</v>
      </c>
      <c r="BT10" s="19">
        <f t="shared" si="33"/>
        <v>1</v>
      </c>
      <c r="BU10" s="35" t="s">
        <v>24</v>
      </c>
      <c r="BV10" s="35" t="s">
        <v>24</v>
      </c>
      <c r="BW10" s="36" t="s">
        <v>24</v>
      </c>
      <c r="BX10" s="33">
        <f t="shared" si="37"/>
        <v>1</v>
      </c>
      <c r="BY10" s="49" t="s">
        <v>24</v>
      </c>
      <c r="BZ10" s="50">
        <f t="shared" si="34"/>
        <v>1</v>
      </c>
      <c r="CA10" s="49" t="s">
        <v>24</v>
      </c>
      <c r="CB10" s="50">
        <f t="shared" si="35"/>
        <v>1</v>
      </c>
      <c r="CC10" s="120">
        <f t="shared" si="6"/>
        <v>18.5</v>
      </c>
      <c r="CD10" s="119">
        <v>0</v>
      </c>
      <c r="CE10" s="131" t="s">
        <v>129</v>
      </c>
      <c r="CF10" s="133">
        <v>21</v>
      </c>
      <c r="CG10" s="129"/>
      <c r="CH10" s="38">
        <f t="shared" si="36"/>
        <v>565657</v>
      </c>
      <c r="CJ10" s="126"/>
    </row>
    <row r="11" spans="1:88" ht="12.75" customHeight="1">
      <c r="A11" s="18">
        <v>5</v>
      </c>
      <c r="B11" s="37" t="s">
        <v>111</v>
      </c>
      <c r="C11" s="39">
        <v>297850282.86</v>
      </c>
      <c r="D11" s="40">
        <v>299562262.64</v>
      </c>
      <c r="E11" s="103">
        <f t="shared" si="7"/>
        <v>0.994</v>
      </c>
      <c r="F11" s="22">
        <f t="shared" si="8"/>
        <v>1.5</v>
      </c>
      <c r="G11" s="42">
        <v>8</v>
      </c>
      <c r="H11" s="22">
        <f t="shared" si="0"/>
        <v>0</v>
      </c>
      <c r="I11" s="41">
        <v>83730664.1</v>
      </c>
      <c r="J11" s="24">
        <v>86654053</v>
      </c>
      <c r="K11" s="108">
        <f t="shared" si="9"/>
        <v>0.966</v>
      </c>
      <c r="L11" s="22">
        <f>IF(K11&gt;=100%,1,0)</f>
        <v>0</v>
      </c>
      <c r="M11" s="39">
        <v>83730664.1</v>
      </c>
      <c r="N11" s="21">
        <v>96871600</v>
      </c>
      <c r="O11" s="26">
        <f>ABS(M11-N11)/N11</f>
        <v>0.1356531315679725</v>
      </c>
      <c r="P11" s="43">
        <f t="shared" si="12"/>
        <v>0</v>
      </c>
      <c r="Q11" s="94">
        <v>1</v>
      </c>
      <c r="R11" s="94">
        <v>1</v>
      </c>
      <c r="S11" s="100">
        <f>Q11/R11</f>
        <v>1</v>
      </c>
      <c r="T11" s="22">
        <f>IF(S11&gt;0.75,1,0)</f>
        <v>1</v>
      </c>
      <c r="U11" s="94">
        <v>1</v>
      </c>
      <c r="V11" s="94">
        <v>1</v>
      </c>
      <c r="W11" s="100">
        <f t="shared" si="15"/>
        <v>1</v>
      </c>
      <c r="X11" s="22">
        <f t="shared" si="16"/>
        <v>1</v>
      </c>
      <c r="Y11" s="94">
        <v>99</v>
      </c>
      <c r="Z11" s="94">
        <v>117</v>
      </c>
      <c r="AA11" s="100">
        <f t="shared" si="17"/>
        <v>0.8461538461538461</v>
      </c>
      <c r="AB11" s="22">
        <f t="shared" si="18"/>
        <v>1</v>
      </c>
      <c r="AC11" s="27">
        <v>200000</v>
      </c>
      <c r="AD11" s="27">
        <v>275431696</v>
      </c>
      <c r="AE11" s="96">
        <f t="shared" si="1"/>
        <v>0.0007261328412979746</v>
      </c>
      <c r="AF11" s="22">
        <f>IF(AE11&gt;0.5,1,0)</f>
        <v>0</v>
      </c>
      <c r="AG11" s="23">
        <v>9682485.77</v>
      </c>
      <c r="AH11" s="23">
        <v>299562262.64</v>
      </c>
      <c r="AI11" s="100">
        <f t="shared" si="19"/>
        <v>0.032</v>
      </c>
      <c r="AJ11" s="22">
        <f t="shared" si="20"/>
        <v>0</v>
      </c>
      <c r="AK11" s="35" t="s">
        <v>104</v>
      </c>
      <c r="AL11" s="19">
        <f t="shared" si="21"/>
        <v>0</v>
      </c>
      <c r="AM11" s="44">
        <v>0</v>
      </c>
      <c r="AN11" s="22">
        <f t="shared" si="22"/>
        <v>3</v>
      </c>
      <c r="AO11" s="23">
        <v>6262.47</v>
      </c>
      <c r="AP11" s="41">
        <v>8196.15</v>
      </c>
      <c r="AQ11" s="96">
        <f t="shared" si="23"/>
        <v>0.7641</v>
      </c>
      <c r="AR11" s="22">
        <f t="shared" si="24"/>
        <v>1</v>
      </c>
      <c r="AS11" s="41">
        <v>83730664.1</v>
      </c>
      <c r="AT11" s="41">
        <v>89664234.47</v>
      </c>
      <c r="AU11" s="110">
        <f t="shared" si="25"/>
        <v>0.934</v>
      </c>
      <c r="AV11" s="22">
        <f t="shared" si="2"/>
        <v>0</v>
      </c>
      <c r="AW11" s="45">
        <v>0</v>
      </c>
      <c r="AX11" s="30">
        <f t="shared" si="3"/>
        <v>1</v>
      </c>
      <c r="AY11" s="31">
        <v>1</v>
      </c>
      <c r="AZ11" s="46">
        <v>1</v>
      </c>
      <c r="BA11" s="115">
        <f>AZ11+AY11</f>
        <v>2</v>
      </c>
      <c r="BB11" s="30">
        <f>BA11</f>
        <v>2</v>
      </c>
      <c r="BC11" s="44" t="s">
        <v>24</v>
      </c>
      <c r="BD11" s="19">
        <f>IF(BC11="да",1,0)</f>
        <v>1</v>
      </c>
      <c r="BE11" s="19">
        <v>0</v>
      </c>
      <c r="BF11" s="47">
        <v>152141644.35</v>
      </c>
      <c r="BG11" s="113">
        <f>BE11/BF11</f>
        <v>0</v>
      </c>
      <c r="BH11" s="33">
        <f>IF(BG11&gt;0,0,1)</f>
        <v>1</v>
      </c>
      <c r="BI11" s="21">
        <v>29319982.99</v>
      </c>
      <c r="BJ11" s="21">
        <v>34596798.15</v>
      </c>
      <c r="BK11" s="21">
        <v>30327345.44</v>
      </c>
      <c r="BL11" s="21">
        <v>43494005.94</v>
      </c>
      <c r="BM11" s="98">
        <f t="shared" si="5"/>
        <v>1.3845108714466055</v>
      </c>
      <c r="BN11" s="33">
        <f t="shared" si="30"/>
        <v>0</v>
      </c>
      <c r="BO11" s="21">
        <v>12837751.02</v>
      </c>
      <c r="BP11" s="21">
        <v>10367840.2</v>
      </c>
      <c r="BQ11" s="102">
        <f t="shared" si="31"/>
        <v>1.238</v>
      </c>
      <c r="BR11" s="22">
        <f t="shared" si="32"/>
        <v>1</v>
      </c>
      <c r="BS11" s="48" t="s">
        <v>24</v>
      </c>
      <c r="BT11" s="19">
        <f>IF(BS11="да",1,0)</f>
        <v>1</v>
      </c>
      <c r="BU11" s="35" t="s">
        <v>24</v>
      </c>
      <c r="BV11" s="35" t="s">
        <v>24</v>
      </c>
      <c r="BW11" s="36" t="s">
        <v>24</v>
      </c>
      <c r="BX11" s="33">
        <f t="shared" si="37"/>
        <v>1</v>
      </c>
      <c r="BY11" s="49" t="s">
        <v>24</v>
      </c>
      <c r="BZ11" s="50">
        <f>IF(BY11="да",1,0)</f>
        <v>1</v>
      </c>
      <c r="CA11" s="49" t="s">
        <v>24</v>
      </c>
      <c r="CB11" s="50">
        <f>IF(CA11="да",1,0)</f>
        <v>1</v>
      </c>
      <c r="CC11" s="120">
        <f t="shared" si="6"/>
        <v>18.5</v>
      </c>
      <c r="CD11" s="119">
        <v>0</v>
      </c>
      <c r="CE11" s="131" t="s">
        <v>113</v>
      </c>
      <c r="CF11" s="133">
        <v>20</v>
      </c>
      <c r="CG11" s="127"/>
      <c r="CH11" s="38">
        <f t="shared" si="36"/>
        <v>538721</v>
      </c>
      <c r="CJ11" s="126"/>
    </row>
    <row r="12" spans="1:88" ht="12.75" customHeight="1">
      <c r="A12" s="18">
        <v>6</v>
      </c>
      <c r="B12" s="37" t="s">
        <v>112</v>
      </c>
      <c r="C12" s="39">
        <v>584925631.9</v>
      </c>
      <c r="D12" s="40">
        <v>588073895.51</v>
      </c>
      <c r="E12" s="103">
        <f t="shared" si="7"/>
        <v>0.995</v>
      </c>
      <c r="F12" s="22">
        <f t="shared" si="8"/>
        <v>1.5</v>
      </c>
      <c r="G12" s="42">
        <v>6</v>
      </c>
      <c r="H12" s="22">
        <f t="shared" si="0"/>
        <v>0</v>
      </c>
      <c r="I12" s="41">
        <v>187797992.61</v>
      </c>
      <c r="J12" s="24">
        <v>175775011.21</v>
      </c>
      <c r="K12" s="108">
        <f t="shared" si="9"/>
        <v>1.068</v>
      </c>
      <c r="L12" s="22">
        <f t="shared" si="10"/>
        <v>1</v>
      </c>
      <c r="M12" s="39">
        <v>187797992.61</v>
      </c>
      <c r="N12" s="21">
        <v>126163983</v>
      </c>
      <c r="O12" s="26">
        <f t="shared" si="11"/>
        <v>0.4885230169849664</v>
      </c>
      <c r="P12" s="43">
        <f t="shared" si="12"/>
        <v>0</v>
      </c>
      <c r="Q12" s="94">
        <v>10</v>
      </c>
      <c r="R12" s="94">
        <v>11</v>
      </c>
      <c r="S12" s="100">
        <f t="shared" si="13"/>
        <v>0.9090909090909091</v>
      </c>
      <c r="T12" s="22">
        <f t="shared" si="14"/>
        <v>1</v>
      </c>
      <c r="U12" s="94">
        <v>6</v>
      </c>
      <c r="V12" s="94">
        <v>12</v>
      </c>
      <c r="W12" s="100">
        <f t="shared" si="15"/>
        <v>0.5</v>
      </c>
      <c r="X12" s="22">
        <f t="shared" si="16"/>
        <v>0</v>
      </c>
      <c r="Y12" s="94">
        <v>89</v>
      </c>
      <c r="Z12" s="94">
        <v>117</v>
      </c>
      <c r="AA12" s="100">
        <f t="shared" si="17"/>
        <v>0.7606837606837606</v>
      </c>
      <c r="AB12" s="22">
        <f t="shared" si="18"/>
        <v>0</v>
      </c>
      <c r="AC12" s="27">
        <v>30000</v>
      </c>
      <c r="AD12" s="27">
        <v>416513266.98</v>
      </c>
      <c r="AE12" s="96">
        <f t="shared" si="1"/>
        <v>7.202651722841887E-05</v>
      </c>
      <c r="AF12" s="22">
        <f>IF(AE12&gt;0.01,1,0)</f>
        <v>0</v>
      </c>
      <c r="AG12" s="23">
        <v>21911976.12</v>
      </c>
      <c r="AH12" s="23">
        <v>588073895.51</v>
      </c>
      <c r="AI12" s="100">
        <f t="shared" si="19"/>
        <v>0.037</v>
      </c>
      <c r="AJ12" s="22">
        <f t="shared" si="20"/>
        <v>0</v>
      </c>
      <c r="AK12" s="35" t="s">
        <v>104</v>
      </c>
      <c r="AL12" s="19">
        <f t="shared" si="21"/>
        <v>0</v>
      </c>
      <c r="AM12" s="44">
        <v>0</v>
      </c>
      <c r="AN12" s="22">
        <f t="shared" si="22"/>
        <v>3</v>
      </c>
      <c r="AO12" s="23">
        <v>21646.91</v>
      </c>
      <c r="AP12" s="41">
        <v>14286.11</v>
      </c>
      <c r="AQ12" s="96">
        <f t="shared" si="23"/>
        <v>1.5152</v>
      </c>
      <c r="AR12" s="22">
        <f t="shared" si="24"/>
        <v>0</v>
      </c>
      <c r="AS12" s="41">
        <v>187797992.61</v>
      </c>
      <c r="AT12" s="41">
        <v>144121474.15</v>
      </c>
      <c r="AU12" s="110">
        <f t="shared" si="25"/>
        <v>1.303</v>
      </c>
      <c r="AV12" s="22">
        <f t="shared" si="2"/>
        <v>1.5</v>
      </c>
      <c r="AW12" s="45">
        <v>0</v>
      </c>
      <c r="AX12" s="30">
        <f t="shared" si="3"/>
        <v>1</v>
      </c>
      <c r="AY12" s="31">
        <v>1</v>
      </c>
      <c r="AZ12" s="46">
        <v>1</v>
      </c>
      <c r="BA12" s="115">
        <f t="shared" si="26"/>
        <v>2</v>
      </c>
      <c r="BB12" s="30">
        <f t="shared" si="4"/>
        <v>2</v>
      </c>
      <c r="BC12" s="44" t="s">
        <v>24</v>
      </c>
      <c r="BD12" s="19">
        <f t="shared" si="27"/>
        <v>1</v>
      </c>
      <c r="BE12" s="19">
        <v>0</v>
      </c>
      <c r="BF12" s="47">
        <v>293506784.54</v>
      </c>
      <c r="BG12" s="113">
        <f t="shared" si="28"/>
        <v>0</v>
      </c>
      <c r="BH12" s="33">
        <f t="shared" si="29"/>
        <v>1</v>
      </c>
      <c r="BI12" s="21">
        <v>50056921.1</v>
      </c>
      <c r="BJ12" s="21">
        <v>60449054.5</v>
      </c>
      <c r="BK12" s="21">
        <v>51104386.93</v>
      </c>
      <c r="BL12" s="21">
        <v>96070509.97</v>
      </c>
      <c r="BM12" s="98">
        <f t="shared" si="5"/>
        <v>1.7833728320267757</v>
      </c>
      <c r="BN12" s="33">
        <f t="shared" si="30"/>
        <v>0</v>
      </c>
      <c r="BO12" s="21">
        <v>5542794.63</v>
      </c>
      <c r="BP12" s="21">
        <v>8418912</v>
      </c>
      <c r="BQ12" s="102">
        <f t="shared" si="31"/>
        <v>0.658</v>
      </c>
      <c r="BR12" s="22">
        <f t="shared" si="32"/>
        <v>0</v>
      </c>
      <c r="BS12" s="48" t="s">
        <v>24</v>
      </c>
      <c r="BT12" s="19">
        <f t="shared" si="33"/>
        <v>1</v>
      </c>
      <c r="BU12" s="35" t="s">
        <v>24</v>
      </c>
      <c r="BV12" s="35" t="s">
        <v>24</v>
      </c>
      <c r="BW12" s="36" t="s">
        <v>24</v>
      </c>
      <c r="BX12" s="33">
        <f t="shared" si="37"/>
        <v>1</v>
      </c>
      <c r="BY12" s="49" t="s">
        <v>24</v>
      </c>
      <c r="BZ12" s="50">
        <f t="shared" si="34"/>
        <v>1</v>
      </c>
      <c r="CA12" s="49" t="s">
        <v>24</v>
      </c>
      <c r="CB12" s="50">
        <f t="shared" si="35"/>
        <v>1</v>
      </c>
      <c r="CC12" s="120">
        <f t="shared" si="6"/>
        <v>17</v>
      </c>
      <c r="CD12" s="119">
        <f t="shared" si="38"/>
        <v>17</v>
      </c>
      <c r="CE12" s="131" t="s">
        <v>115</v>
      </c>
      <c r="CF12" s="133">
        <v>20</v>
      </c>
      <c r="CG12" s="121"/>
      <c r="CH12" s="38">
        <f t="shared" si="36"/>
        <v>538721</v>
      </c>
      <c r="CJ12" s="126"/>
    </row>
    <row r="13" spans="1:88" ht="12.75" customHeight="1">
      <c r="A13" s="18">
        <v>7</v>
      </c>
      <c r="B13" s="37" t="s">
        <v>113</v>
      </c>
      <c r="C13" s="39">
        <v>1896330154.54</v>
      </c>
      <c r="D13" s="40">
        <v>1941367218.63</v>
      </c>
      <c r="E13" s="103">
        <f t="shared" si="7"/>
        <v>0.977</v>
      </c>
      <c r="F13" s="22">
        <f t="shared" si="8"/>
        <v>1.5</v>
      </c>
      <c r="G13" s="42">
        <v>5</v>
      </c>
      <c r="H13" s="22">
        <f t="shared" si="0"/>
        <v>0</v>
      </c>
      <c r="I13" s="41">
        <v>662713859.54</v>
      </c>
      <c r="J13" s="24">
        <v>645979408.36</v>
      </c>
      <c r="K13" s="108">
        <f t="shared" si="9"/>
        <v>1.026</v>
      </c>
      <c r="L13" s="22">
        <f t="shared" si="10"/>
        <v>1</v>
      </c>
      <c r="M13" s="39">
        <v>662713859.54</v>
      </c>
      <c r="N13" s="21">
        <v>524418003</v>
      </c>
      <c r="O13" s="26">
        <f t="shared" si="11"/>
        <v>0.2637130223387849</v>
      </c>
      <c r="P13" s="43">
        <f t="shared" si="12"/>
        <v>0</v>
      </c>
      <c r="Q13" s="105">
        <v>0</v>
      </c>
      <c r="R13" s="94">
        <v>15</v>
      </c>
      <c r="S13" s="100">
        <f t="shared" si="13"/>
        <v>0</v>
      </c>
      <c r="T13" s="22">
        <f t="shared" si="14"/>
        <v>0</v>
      </c>
      <c r="U13" s="94">
        <v>7</v>
      </c>
      <c r="V13" s="94">
        <v>16</v>
      </c>
      <c r="W13" s="100">
        <f t="shared" si="15"/>
        <v>0.4375</v>
      </c>
      <c r="X13" s="22">
        <f t="shared" si="16"/>
        <v>0</v>
      </c>
      <c r="Y13" s="94">
        <v>98</v>
      </c>
      <c r="Z13" s="94">
        <v>117</v>
      </c>
      <c r="AA13" s="100">
        <f t="shared" si="17"/>
        <v>0.8376068376068376</v>
      </c>
      <c r="AB13" s="22">
        <f t="shared" si="18"/>
        <v>1</v>
      </c>
      <c r="AC13" s="27">
        <v>1923455.58</v>
      </c>
      <c r="AD13" s="27">
        <v>1329720553.97</v>
      </c>
      <c r="AE13" s="96">
        <f t="shared" si="1"/>
        <v>0.0014465111291672155</v>
      </c>
      <c r="AF13" s="22">
        <f aca="true" t="shared" si="39" ref="AF13:AF37">IF(AE13&gt;0.01,1,0)</f>
        <v>0</v>
      </c>
      <c r="AG13" s="23">
        <v>142114729.85</v>
      </c>
      <c r="AH13" s="23">
        <v>1941367218.63</v>
      </c>
      <c r="AI13" s="100">
        <f t="shared" si="19"/>
        <v>0.073</v>
      </c>
      <c r="AJ13" s="22">
        <f t="shared" si="20"/>
        <v>0</v>
      </c>
      <c r="AK13" s="35" t="s">
        <v>24</v>
      </c>
      <c r="AL13" s="19">
        <f t="shared" si="21"/>
        <v>1</v>
      </c>
      <c r="AM13" s="44">
        <v>0</v>
      </c>
      <c r="AN13" s="22">
        <f t="shared" si="22"/>
        <v>3</v>
      </c>
      <c r="AO13" s="23">
        <v>101395.21</v>
      </c>
      <c r="AP13" s="41">
        <v>102548.71</v>
      </c>
      <c r="AQ13" s="96">
        <f t="shared" si="23"/>
        <v>0.9888</v>
      </c>
      <c r="AR13" s="22">
        <f t="shared" si="24"/>
        <v>1</v>
      </c>
      <c r="AS13" s="41">
        <v>662713859.54</v>
      </c>
      <c r="AT13" s="41">
        <v>582567180.64</v>
      </c>
      <c r="AU13" s="110">
        <f t="shared" si="25"/>
        <v>1.138</v>
      </c>
      <c r="AV13" s="22">
        <f t="shared" si="2"/>
        <v>1.5</v>
      </c>
      <c r="AW13" s="45">
        <v>0</v>
      </c>
      <c r="AX13" s="30">
        <f t="shared" si="3"/>
        <v>1</v>
      </c>
      <c r="AY13" s="31">
        <v>1</v>
      </c>
      <c r="AZ13" s="46">
        <v>1</v>
      </c>
      <c r="BA13" s="115">
        <f t="shared" si="26"/>
        <v>2</v>
      </c>
      <c r="BB13" s="30">
        <f t="shared" si="4"/>
        <v>2</v>
      </c>
      <c r="BC13" s="44" t="s">
        <v>24</v>
      </c>
      <c r="BD13" s="19">
        <f t="shared" si="27"/>
        <v>1</v>
      </c>
      <c r="BE13" s="19">
        <v>0</v>
      </c>
      <c r="BF13" s="47">
        <v>1111372064.13</v>
      </c>
      <c r="BG13" s="113">
        <f t="shared" si="28"/>
        <v>0</v>
      </c>
      <c r="BH13" s="33">
        <f t="shared" si="29"/>
        <v>1</v>
      </c>
      <c r="BI13" s="21">
        <v>102422329.87</v>
      </c>
      <c r="BJ13" s="21">
        <v>145535660.9</v>
      </c>
      <c r="BK13" s="21">
        <v>159531419.96</v>
      </c>
      <c r="BL13" s="21">
        <v>288255604.59</v>
      </c>
      <c r="BM13" s="98">
        <f t="shared" si="5"/>
        <v>2.1221822972548092</v>
      </c>
      <c r="BN13" s="33">
        <f t="shared" si="30"/>
        <v>0</v>
      </c>
      <c r="BO13" s="21">
        <v>32201015.76</v>
      </c>
      <c r="BP13" s="21">
        <v>22991680.4</v>
      </c>
      <c r="BQ13" s="102">
        <f t="shared" si="31"/>
        <v>1.401</v>
      </c>
      <c r="BR13" s="22">
        <f t="shared" si="32"/>
        <v>1</v>
      </c>
      <c r="BS13" s="48" t="s">
        <v>24</v>
      </c>
      <c r="BT13" s="19">
        <f t="shared" si="33"/>
        <v>1</v>
      </c>
      <c r="BU13" s="49" t="s">
        <v>24</v>
      </c>
      <c r="BV13" s="49" t="s">
        <v>24</v>
      </c>
      <c r="BW13" s="36" t="s">
        <v>24</v>
      </c>
      <c r="BX13" s="33">
        <f t="shared" si="37"/>
        <v>1</v>
      </c>
      <c r="BY13" s="49" t="s">
        <v>24</v>
      </c>
      <c r="BZ13" s="50">
        <f t="shared" si="34"/>
        <v>1</v>
      </c>
      <c r="CA13" s="49" t="s">
        <v>24</v>
      </c>
      <c r="CB13" s="50">
        <f t="shared" si="35"/>
        <v>1</v>
      </c>
      <c r="CC13" s="120">
        <f t="shared" si="6"/>
        <v>20</v>
      </c>
      <c r="CD13" s="119">
        <f t="shared" si="38"/>
        <v>20</v>
      </c>
      <c r="CE13" s="131" t="s">
        <v>126</v>
      </c>
      <c r="CF13" s="133">
        <v>20</v>
      </c>
      <c r="CG13" s="121"/>
      <c r="CH13" s="38">
        <f t="shared" si="36"/>
        <v>538721</v>
      </c>
      <c r="CJ13" s="126"/>
    </row>
    <row r="14" spans="1:88" ht="12.75" customHeight="1">
      <c r="A14" s="18">
        <v>8</v>
      </c>
      <c r="B14" s="37" t="s">
        <v>114</v>
      </c>
      <c r="C14" s="39">
        <v>722821295.6</v>
      </c>
      <c r="D14" s="40">
        <v>730068768.57</v>
      </c>
      <c r="E14" s="103">
        <f t="shared" si="7"/>
        <v>0.99</v>
      </c>
      <c r="F14" s="22">
        <f t="shared" si="8"/>
        <v>1.5</v>
      </c>
      <c r="G14" s="42">
        <v>5</v>
      </c>
      <c r="H14" s="22">
        <f t="shared" si="0"/>
        <v>0</v>
      </c>
      <c r="I14" s="41">
        <v>201257103.9</v>
      </c>
      <c r="J14" s="24">
        <v>205649319.13</v>
      </c>
      <c r="K14" s="108">
        <f t="shared" si="9"/>
        <v>0.979</v>
      </c>
      <c r="L14" s="22">
        <f t="shared" si="10"/>
        <v>0</v>
      </c>
      <c r="M14" s="39">
        <v>201257103.9</v>
      </c>
      <c r="N14" s="21">
        <v>180057000</v>
      </c>
      <c r="O14" s="26">
        <f t="shared" si="11"/>
        <v>0.11774107032772958</v>
      </c>
      <c r="P14" s="43">
        <f t="shared" si="12"/>
        <v>0</v>
      </c>
      <c r="Q14" s="94">
        <v>8</v>
      </c>
      <c r="R14" s="94">
        <v>8</v>
      </c>
      <c r="S14" s="100">
        <f t="shared" si="13"/>
        <v>1</v>
      </c>
      <c r="T14" s="22">
        <f t="shared" si="14"/>
        <v>1</v>
      </c>
      <c r="U14" s="94">
        <v>1</v>
      </c>
      <c r="V14" s="94">
        <v>9</v>
      </c>
      <c r="W14" s="100">
        <f t="shared" si="15"/>
        <v>0.1111111111111111</v>
      </c>
      <c r="X14" s="22">
        <f t="shared" si="16"/>
        <v>0</v>
      </c>
      <c r="Y14" s="94">
        <v>95</v>
      </c>
      <c r="Z14" s="94">
        <v>117</v>
      </c>
      <c r="AA14" s="100">
        <f t="shared" si="17"/>
        <v>0.811965811965812</v>
      </c>
      <c r="AB14" s="22">
        <f t="shared" si="18"/>
        <v>1</v>
      </c>
      <c r="AC14" s="27">
        <v>500000</v>
      </c>
      <c r="AD14" s="27">
        <v>495215178.52</v>
      </c>
      <c r="AE14" s="96">
        <f t="shared" si="1"/>
        <v>0.001009662105863354</v>
      </c>
      <c r="AF14" s="22">
        <f t="shared" si="39"/>
        <v>0</v>
      </c>
      <c r="AG14" s="23">
        <v>74010169.4</v>
      </c>
      <c r="AH14" s="23">
        <v>730068768.57</v>
      </c>
      <c r="AI14" s="100">
        <f t="shared" si="19"/>
        <v>0.101</v>
      </c>
      <c r="AJ14" s="22">
        <f t="shared" si="20"/>
        <v>0</v>
      </c>
      <c r="AK14" s="35" t="s">
        <v>104</v>
      </c>
      <c r="AL14" s="19">
        <f t="shared" si="21"/>
        <v>0</v>
      </c>
      <c r="AM14" s="44">
        <v>0</v>
      </c>
      <c r="AN14" s="22">
        <f t="shared" si="22"/>
        <v>3</v>
      </c>
      <c r="AO14" s="23">
        <v>13953.09</v>
      </c>
      <c r="AP14" s="41">
        <v>15772.05</v>
      </c>
      <c r="AQ14" s="96">
        <f t="shared" si="23"/>
        <v>0.8847</v>
      </c>
      <c r="AR14" s="22">
        <f t="shared" si="24"/>
        <v>1</v>
      </c>
      <c r="AS14" s="41">
        <v>201257103.9</v>
      </c>
      <c r="AT14" s="41">
        <v>208857776.71</v>
      </c>
      <c r="AU14" s="110">
        <f t="shared" si="25"/>
        <v>0.964</v>
      </c>
      <c r="AV14" s="22">
        <f t="shared" si="2"/>
        <v>0</v>
      </c>
      <c r="AW14" s="45">
        <v>0</v>
      </c>
      <c r="AX14" s="30">
        <f t="shared" si="3"/>
        <v>1</v>
      </c>
      <c r="AY14" s="31">
        <v>1</v>
      </c>
      <c r="AZ14" s="46">
        <v>1</v>
      </c>
      <c r="BA14" s="115">
        <f t="shared" si="26"/>
        <v>2</v>
      </c>
      <c r="BB14" s="30">
        <f t="shared" si="4"/>
        <v>2</v>
      </c>
      <c r="BC14" s="44" t="s">
        <v>104</v>
      </c>
      <c r="BD14" s="19">
        <f t="shared" si="27"/>
        <v>0</v>
      </c>
      <c r="BE14" s="19">
        <v>0</v>
      </c>
      <c r="BF14" s="47">
        <v>356366131.21</v>
      </c>
      <c r="BG14" s="113">
        <f t="shared" si="28"/>
        <v>0</v>
      </c>
      <c r="BH14" s="33">
        <f t="shared" si="29"/>
        <v>1</v>
      </c>
      <c r="BI14" s="21">
        <v>47407136.12</v>
      </c>
      <c r="BJ14" s="21">
        <v>58349211.59</v>
      </c>
      <c r="BK14" s="21">
        <v>58596213.76</v>
      </c>
      <c r="BL14" s="21">
        <v>87607574.26</v>
      </c>
      <c r="BM14" s="98">
        <f t="shared" si="5"/>
        <v>1.5991398030506156</v>
      </c>
      <c r="BN14" s="33">
        <f t="shared" si="30"/>
        <v>0</v>
      </c>
      <c r="BO14" s="21">
        <v>7973083.45</v>
      </c>
      <c r="BP14" s="21">
        <v>7628437.7</v>
      </c>
      <c r="BQ14" s="102">
        <f t="shared" si="31"/>
        <v>1.045</v>
      </c>
      <c r="BR14" s="22">
        <f t="shared" si="32"/>
        <v>1</v>
      </c>
      <c r="BS14" s="48" t="s">
        <v>24</v>
      </c>
      <c r="BT14" s="19">
        <f t="shared" si="33"/>
        <v>1</v>
      </c>
      <c r="BU14" s="49" t="s">
        <v>24</v>
      </c>
      <c r="BV14" s="35" t="s">
        <v>104</v>
      </c>
      <c r="BW14" s="36" t="s">
        <v>24</v>
      </c>
      <c r="BX14" s="33">
        <f t="shared" si="37"/>
        <v>0</v>
      </c>
      <c r="BY14" s="49" t="s">
        <v>24</v>
      </c>
      <c r="BZ14" s="50">
        <f t="shared" si="34"/>
        <v>1</v>
      </c>
      <c r="CA14" s="49" t="s">
        <v>24</v>
      </c>
      <c r="CB14" s="50">
        <f t="shared" si="35"/>
        <v>1</v>
      </c>
      <c r="CC14" s="120">
        <f t="shared" si="6"/>
        <v>15.5</v>
      </c>
      <c r="CD14" s="119">
        <v>0</v>
      </c>
      <c r="CE14" s="131" t="s">
        <v>127</v>
      </c>
      <c r="CF14" s="133">
        <v>20</v>
      </c>
      <c r="CG14" s="121"/>
      <c r="CH14" s="38"/>
      <c r="CJ14" s="126"/>
    </row>
    <row r="15" spans="1:88" ht="12.75" customHeight="1">
      <c r="A15" s="18">
        <v>9</v>
      </c>
      <c r="B15" s="37" t="s">
        <v>115</v>
      </c>
      <c r="C15" s="39">
        <v>298293330.28</v>
      </c>
      <c r="D15" s="40">
        <v>299852418.28</v>
      </c>
      <c r="E15" s="103">
        <f t="shared" si="7"/>
        <v>0.995</v>
      </c>
      <c r="F15" s="22">
        <f t="shared" si="8"/>
        <v>1.5</v>
      </c>
      <c r="G15" s="42">
        <v>4</v>
      </c>
      <c r="H15" s="22">
        <f t="shared" si="0"/>
        <v>1</v>
      </c>
      <c r="I15" s="41">
        <v>53935093.46</v>
      </c>
      <c r="J15" s="24">
        <v>49815964.17</v>
      </c>
      <c r="K15" s="108">
        <f t="shared" si="9"/>
        <v>1.083</v>
      </c>
      <c r="L15" s="22">
        <f t="shared" si="10"/>
        <v>1</v>
      </c>
      <c r="M15" s="39">
        <v>53935093.46</v>
      </c>
      <c r="N15" s="21">
        <v>43019861</v>
      </c>
      <c r="O15" s="26">
        <f t="shared" si="11"/>
        <v>0.2537254237060413</v>
      </c>
      <c r="P15" s="43">
        <f t="shared" si="12"/>
        <v>0</v>
      </c>
      <c r="Q15" s="94">
        <v>7</v>
      </c>
      <c r="R15" s="94">
        <v>7</v>
      </c>
      <c r="S15" s="100">
        <f t="shared" si="13"/>
        <v>1</v>
      </c>
      <c r="T15" s="22">
        <f t="shared" si="14"/>
        <v>1</v>
      </c>
      <c r="U15" s="94">
        <v>7</v>
      </c>
      <c r="V15" s="94">
        <v>8</v>
      </c>
      <c r="W15" s="100">
        <f t="shared" si="15"/>
        <v>0.875</v>
      </c>
      <c r="X15" s="22">
        <f t="shared" si="16"/>
        <v>1</v>
      </c>
      <c r="Y15" s="94">
        <v>89</v>
      </c>
      <c r="Z15" s="94">
        <v>117</v>
      </c>
      <c r="AA15" s="100">
        <f t="shared" si="17"/>
        <v>0.7606837606837606</v>
      </c>
      <c r="AB15" s="22">
        <f t="shared" si="18"/>
        <v>0</v>
      </c>
      <c r="AC15" s="27">
        <v>300000</v>
      </c>
      <c r="AD15" s="27">
        <v>217094501.53</v>
      </c>
      <c r="AE15" s="96">
        <f t="shared" si="1"/>
        <v>0.0013818866801587023</v>
      </c>
      <c r="AF15" s="22">
        <f t="shared" si="39"/>
        <v>0</v>
      </c>
      <c r="AG15" s="23">
        <v>33436277.2</v>
      </c>
      <c r="AH15" s="23">
        <v>299852418.28</v>
      </c>
      <c r="AI15" s="100">
        <f t="shared" si="19"/>
        <v>0.112</v>
      </c>
      <c r="AJ15" s="22">
        <f t="shared" si="20"/>
        <v>0</v>
      </c>
      <c r="AK15" s="35" t="s">
        <v>104</v>
      </c>
      <c r="AL15" s="19">
        <f t="shared" si="21"/>
        <v>0</v>
      </c>
      <c r="AM15" s="44">
        <v>0</v>
      </c>
      <c r="AN15" s="22">
        <f t="shared" si="22"/>
        <v>3</v>
      </c>
      <c r="AO15" s="23">
        <v>1937.8</v>
      </c>
      <c r="AP15" s="41">
        <v>1731.95</v>
      </c>
      <c r="AQ15" s="96">
        <f t="shared" si="23"/>
        <v>1.1189</v>
      </c>
      <c r="AR15" s="22">
        <f t="shared" si="24"/>
        <v>0</v>
      </c>
      <c r="AS15" s="41">
        <v>53935093.46</v>
      </c>
      <c r="AT15" s="41">
        <v>44991134.27</v>
      </c>
      <c r="AU15" s="110">
        <f t="shared" si="25"/>
        <v>1.199</v>
      </c>
      <c r="AV15" s="22">
        <f t="shared" si="2"/>
        <v>1.5</v>
      </c>
      <c r="AW15" s="45">
        <v>0</v>
      </c>
      <c r="AX15" s="30">
        <f t="shared" si="3"/>
        <v>1</v>
      </c>
      <c r="AY15" s="31">
        <v>1</v>
      </c>
      <c r="AZ15" s="46">
        <v>1</v>
      </c>
      <c r="BA15" s="115">
        <f t="shared" si="26"/>
        <v>2</v>
      </c>
      <c r="BB15" s="30">
        <f t="shared" si="4"/>
        <v>2</v>
      </c>
      <c r="BC15" s="44" t="s">
        <v>24</v>
      </c>
      <c r="BD15" s="19">
        <f t="shared" si="27"/>
        <v>1</v>
      </c>
      <c r="BE15" s="19">
        <v>0</v>
      </c>
      <c r="BF15" s="47">
        <v>163125299.88</v>
      </c>
      <c r="BG15" s="113">
        <f t="shared" si="28"/>
        <v>0</v>
      </c>
      <c r="BH15" s="33">
        <f t="shared" si="29"/>
        <v>1</v>
      </c>
      <c r="BI15" s="21">
        <v>23419633.26</v>
      </c>
      <c r="BJ15" s="21">
        <v>24434924.42</v>
      </c>
      <c r="BK15" s="21">
        <v>22665930.38</v>
      </c>
      <c r="BL15" s="21">
        <v>33639347.43</v>
      </c>
      <c r="BM15" s="98">
        <f t="shared" si="5"/>
        <v>1.4310457154541705</v>
      </c>
      <c r="BN15" s="33">
        <f t="shared" si="30"/>
        <v>0</v>
      </c>
      <c r="BO15" s="21">
        <v>3059379.06</v>
      </c>
      <c r="BP15" s="21">
        <v>2828726.4</v>
      </c>
      <c r="BQ15" s="102">
        <f t="shared" si="31"/>
        <v>1.082</v>
      </c>
      <c r="BR15" s="22">
        <f t="shared" si="32"/>
        <v>1</v>
      </c>
      <c r="BS15" s="48" t="s">
        <v>24</v>
      </c>
      <c r="BT15" s="19">
        <f t="shared" si="33"/>
        <v>1</v>
      </c>
      <c r="BU15" s="35" t="s">
        <v>24</v>
      </c>
      <c r="BV15" s="35" t="s">
        <v>24</v>
      </c>
      <c r="BW15" s="36" t="s">
        <v>24</v>
      </c>
      <c r="BX15" s="33">
        <f t="shared" si="37"/>
        <v>1</v>
      </c>
      <c r="BY15" s="49" t="s">
        <v>24</v>
      </c>
      <c r="BZ15" s="50">
        <f t="shared" si="34"/>
        <v>1</v>
      </c>
      <c r="CA15" s="49" t="s">
        <v>24</v>
      </c>
      <c r="CB15" s="50">
        <f t="shared" si="35"/>
        <v>1</v>
      </c>
      <c r="CC15" s="120">
        <f t="shared" si="6"/>
        <v>20</v>
      </c>
      <c r="CD15" s="119">
        <f t="shared" si="38"/>
        <v>20</v>
      </c>
      <c r="CE15" s="131" t="s">
        <v>118</v>
      </c>
      <c r="CF15" s="133">
        <v>19</v>
      </c>
      <c r="CG15" s="121"/>
      <c r="CH15" s="53"/>
      <c r="CJ15" s="126"/>
    </row>
    <row r="16" spans="1:88" ht="12.75" customHeight="1">
      <c r="A16" s="18">
        <v>10</v>
      </c>
      <c r="B16" s="37" t="s">
        <v>116</v>
      </c>
      <c r="C16" s="39">
        <v>467985573.6</v>
      </c>
      <c r="D16" s="40">
        <v>469325747.91</v>
      </c>
      <c r="E16" s="103">
        <f t="shared" si="7"/>
        <v>0.997</v>
      </c>
      <c r="F16" s="22">
        <f t="shared" si="8"/>
        <v>1.5</v>
      </c>
      <c r="G16" s="42">
        <v>4</v>
      </c>
      <c r="H16" s="22">
        <f t="shared" si="0"/>
        <v>1</v>
      </c>
      <c r="I16" s="41">
        <v>134117138.65</v>
      </c>
      <c r="J16" s="24">
        <v>133194960.96</v>
      </c>
      <c r="K16" s="108">
        <f t="shared" si="9"/>
        <v>1.007</v>
      </c>
      <c r="L16" s="22">
        <f t="shared" si="10"/>
        <v>1</v>
      </c>
      <c r="M16" s="39">
        <v>134117138.65</v>
      </c>
      <c r="N16" s="21">
        <v>133154700</v>
      </c>
      <c r="O16" s="26">
        <f t="shared" si="11"/>
        <v>0.007227973552567097</v>
      </c>
      <c r="P16" s="43">
        <f t="shared" si="12"/>
        <v>1</v>
      </c>
      <c r="Q16" s="94">
        <v>7</v>
      </c>
      <c r="R16" s="94">
        <v>7</v>
      </c>
      <c r="S16" s="100">
        <f t="shared" si="13"/>
        <v>1</v>
      </c>
      <c r="T16" s="22">
        <f t="shared" si="14"/>
        <v>1</v>
      </c>
      <c r="U16" s="94">
        <v>1</v>
      </c>
      <c r="V16" s="94">
        <v>8</v>
      </c>
      <c r="W16" s="100">
        <f t="shared" si="15"/>
        <v>0.125</v>
      </c>
      <c r="X16" s="22">
        <f t="shared" si="16"/>
        <v>0</v>
      </c>
      <c r="Y16" s="94">
        <v>99</v>
      </c>
      <c r="Z16" s="94">
        <v>117</v>
      </c>
      <c r="AA16" s="100">
        <f t="shared" si="17"/>
        <v>0.8461538461538461</v>
      </c>
      <c r="AB16" s="22">
        <f t="shared" si="18"/>
        <v>1</v>
      </c>
      <c r="AC16" s="27">
        <v>100000</v>
      </c>
      <c r="AD16" s="27">
        <v>325354622.14</v>
      </c>
      <c r="AE16" s="96">
        <f t="shared" si="1"/>
        <v>0.00030735693669343365</v>
      </c>
      <c r="AF16" s="22">
        <f t="shared" si="39"/>
        <v>0</v>
      </c>
      <c r="AG16" s="23">
        <v>16698825.46</v>
      </c>
      <c r="AH16" s="23">
        <v>469325747.91</v>
      </c>
      <c r="AI16" s="100">
        <f t="shared" si="19"/>
        <v>0.036</v>
      </c>
      <c r="AJ16" s="22">
        <f t="shared" si="20"/>
        <v>0</v>
      </c>
      <c r="AK16" s="35" t="s">
        <v>104</v>
      </c>
      <c r="AL16" s="19">
        <f t="shared" si="21"/>
        <v>0</v>
      </c>
      <c r="AM16" s="44">
        <v>0</v>
      </c>
      <c r="AN16" s="22">
        <f t="shared" si="22"/>
        <v>3</v>
      </c>
      <c r="AO16" s="23">
        <v>11003.34</v>
      </c>
      <c r="AP16" s="41">
        <v>14184.5</v>
      </c>
      <c r="AQ16" s="96">
        <f t="shared" si="23"/>
        <v>0.7757</v>
      </c>
      <c r="AR16" s="22">
        <f t="shared" si="24"/>
        <v>1</v>
      </c>
      <c r="AS16" s="41">
        <v>134117138.65</v>
      </c>
      <c r="AT16" s="41">
        <v>125189480.3</v>
      </c>
      <c r="AU16" s="110">
        <f t="shared" si="25"/>
        <v>1.071</v>
      </c>
      <c r="AV16" s="22">
        <f t="shared" si="2"/>
        <v>1</v>
      </c>
      <c r="AW16" s="45">
        <v>0</v>
      </c>
      <c r="AX16" s="30">
        <f t="shared" si="3"/>
        <v>1</v>
      </c>
      <c r="AY16" s="31">
        <v>1</v>
      </c>
      <c r="AZ16" s="46">
        <v>1</v>
      </c>
      <c r="BA16" s="115">
        <f t="shared" si="26"/>
        <v>2</v>
      </c>
      <c r="BB16" s="30">
        <f t="shared" si="4"/>
        <v>2</v>
      </c>
      <c r="BC16" s="44" t="s">
        <v>24</v>
      </c>
      <c r="BD16" s="19">
        <f t="shared" si="27"/>
        <v>1</v>
      </c>
      <c r="BE16" s="19">
        <v>0</v>
      </c>
      <c r="BF16" s="47">
        <v>239055547.34</v>
      </c>
      <c r="BG16" s="113">
        <f t="shared" si="28"/>
        <v>0</v>
      </c>
      <c r="BH16" s="33">
        <f t="shared" si="29"/>
        <v>1</v>
      </c>
      <c r="BI16" s="21">
        <v>39124223.12</v>
      </c>
      <c r="BJ16" s="21">
        <v>41490350.48</v>
      </c>
      <c r="BK16" s="21">
        <v>43523034.05</v>
      </c>
      <c r="BL16" s="21">
        <v>58278462.92</v>
      </c>
      <c r="BM16" s="98">
        <f t="shared" si="5"/>
        <v>1.4083998561736422</v>
      </c>
      <c r="BN16" s="33">
        <f t="shared" si="30"/>
        <v>0</v>
      </c>
      <c r="BO16" s="21">
        <v>5708567.33</v>
      </c>
      <c r="BP16" s="21">
        <v>4644803.4</v>
      </c>
      <c r="BQ16" s="102">
        <f t="shared" si="31"/>
        <v>1.229</v>
      </c>
      <c r="BR16" s="22">
        <f t="shared" si="32"/>
        <v>1</v>
      </c>
      <c r="BS16" s="48" t="s">
        <v>24</v>
      </c>
      <c r="BT16" s="19">
        <f t="shared" si="33"/>
        <v>1</v>
      </c>
      <c r="BU16" s="35" t="s">
        <v>24</v>
      </c>
      <c r="BV16" s="35" t="s">
        <v>24</v>
      </c>
      <c r="BW16" s="36" t="s">
        <v>24</v>
      </c>
      <c r="BX16" s="33">
        <f t="shared" si="37"/>
        <v>1</v>
      </c>
      <c r="BY16" s="49" t="s">
        <v>24</v>
      </c>
      <c r="BZ16" s="50">
        <f t="shared" si="34"/>
        <v>1</v>
      </c>
      <c r="CA16" s="49" t="s">
        <v>187</v>
      </c>
      <c r="CB16" s="50">
        <f t="shared" si="35"/>
        <v>0</v>
      </c>
      <c r="CC16" s="120">
        <f t="shared" si="6"/>
        <v>20.5</v>
      </c>
      <c r="CD16" s="119">
        <v>0</v>
      </c>
      <c r="CE16" s="131" t="s">
        <v>124</v>
      </c>
      <c r="CF16" s="133">
        <v>19</v>
      </c>
      <c r="CG16" s="121"/>
      <c r="CH16" s="52"/>
      <c r="CJ16" s="126"/>
    </row>
    <row r="17" spans="1:88" ht="12.75" customHeight="1">
      <c r="A17" s="18">
        <v>11</v>
      </c>
      <c r="B17" s="37" t="s">
        <v>117</v>
      </c>
      <c r="C17" s="39">
        <v>1399343697.8</v>
      </c>
      <c r="D17" s="40">
        <v>1406288073.27</v>
      </c>
      <c r="E17" s="103">
        <f t="shared" si="7"/>
        <v>0.995</v>
      </c>
      <c r="F17" s="22">
        <f t="shared" si="8"/>
        <v>1.5</v>
      </c>
      <c r="G17" s="42">
        <v>5</v>
      </c>
      <c r="H17" s="22">
        <f t="shared" si="0"/>
        <v>0</v>
      </c>
      <c r="I17" s="41">
        <v>408482567.66</v>
      </c>
      <c r="J17" s="24">
        <v>394852753.14</v>
      </c>
      <c r="K17" s="108">
        <f t="shared" si="9"/>
        <v>1.035</v>
      </c>
      <c r="L17" s="22">
        <f>IF(K17&gt;=100%,1,0)</f>
        <v>1</v>
      </c>
      <c r="M17" s="39">
        <v>408482567.66</v>
      </c>
      <c r="N17" s="21">
        <v>380594693.37</v>
      </c>
      <c r="O17" s="26">
        <f>ABS(M17-N17)/N17</f>
        <v>0.07327446960194074</v>
      </c>
      <c r="P17" s="43">
        <f t="shared" si="12"/>
        <v>1</v>
      </c>
      <c r="Q17" s="94">
        <v>0</v>
      </c>
      <c r="R17" s="94">
        <v>10</v>
      </c>
      <c r="S17" s="100">
        <f>Q17/R17</f>
        <v>0</v>
      </c>
      <c r="T17" s="22">
        <f>IF(S17&gt;0.75,1,0)</f>
        <v>0</v>
      </c>
      <c r="U17" s="94">
        <v>6</v>
      </c>
      <c r="V17" s="94">
        <v>11</v>
      </c>
      <c r="W17" s="100">
        <f t="shared" si="15"/>
        <v>0.5454545454545454</v>
      </c>
      <c r="X17" s="22">
        <f t="shared" si="16"/>
        <v>1</v>
      </c>
      <c r="Y17" s="94">
        <v>94</v>
      </c>
      <c r="Z17" s="94">
        <v>117</v>
      </c>
      <c r="AA17" s="100">
        <f t="shared" si="17"/>
        <v>0.8034188034188035</v>
      </c>
      <c r="AB17" s="22">
        <f t="shared" si="18"/>
        <v>1</v>
      </c>
      <c r="AC17" s="27">
        <v>2000000</v>
      </c>
      <c r="AD17" s="27">
        <v>884140110.77</v>
      </c>
      <c r="AE17" s="96">
        <f t="shared" si="1"/>
        <v>0.002262084906721622</v>
      </c>
      <c r="AF17" s="22">
        <f t="shared" si="39"/>
        <v>0</v>
      </c>
      <c r="AG17" s="23">
        <v>52592650.36</v>
      </c>
      <c r="AH17" s="23">
        <v>1406288073.27</v>
      </c>
      <c r="AI17" s="100">
        <f t="shared" si="19"/>
        <v>0.037</v>
      </c>
      <c r="AJ17" s="22">
        <f t="shared" si="20"/>
        <v>0</v>
      </c>
      <c r="AK17" s="35" t="s">
        <v>24</v>
      </c>
      <c r="AL17" s="19">
        <f t="shared" si="21"/>
        <v>1</v>
      </c>
      <c r="AM17" s="44">
        <v>0</v>
      </c>
      <c r="AN17" s="22">
        <f t="shared" si="22"/>
        <v>3</v>
      </c>
      <c r="AO17" s="23">
        <v>38620.87</v>
      </c>
      <c r="AP17" s="41">
        <v>53850.11</v>
      </c>
      <c r="AQ17" s="96">
        <f t="shared" si="23"/>
        <v>0.7172</v>
      </c>
      <c r="AR17" s="22">
        <f t="shared" si="24"/>
        <v>1</v>
      </c>
      <c r="AS17" s="41">
        <v>408482567.66</v>
      </c>
      <c r="AT17" s="41">
        <v>390817553.17</v>
      </c>
      <c r="AU17" s="110">
        <f t="shared" si="25"/>
        <v>1.045</v>
      </c>
      <c r="AV17" s="22">
        <f t="shared" si="2"/>
        <v>1</v>
      </c>
      <c r="AW17" s="45">
        <v>0</v>
      </c>
      <c r="AX17" s="30">
        <f t="shared" si="3"/>
        <v>1</v>
      </c>
      <c r="AY17" s="31">
        <v>1</v>
      </c>
      <c r="AZ17" s="46">
        <v>1</v>
      </c>
      <c r="BA17" s="115">
        <f>AZ17+AY17</f>
        <v>2</v>
      </c>
      <c r="BB17" s="30">
        <f>BA17</f>
        <v>2</v>
      </c>
      <c r="BC17" s="44" t="s">
        <v>24</v>
      </c>
      <c r="BD17" s="19">
        <f>IF(BC17="да",1,0)</f>
        <v>1</v>
      </c>
      <c r="BE17" s="19">
        <v>0</v>
      </c>
      <c r="BF17" s="47">
        <v>541693481.84</v>
      </c>
      <c r="BG17" s="113">
        <f>BE17/BF17</f>
        <v>0</v>
      </c>
      <c r="BH17" s="33">
        <f>IF(BG17&gt;0,0,1)</f>
        <v>1</v>
      </c>
      <c r="BI17" s="21">
        <v>123788162.03</v>
      </c>
      <c r="BJ17" s="21">
        <v>131437506.59</v>
      </c>
      <c r="BK17" s="21">
        <v>120578143.55</v>
      </c>
      <c r="BL17" s="21">
        <v>171536294.55</v>
      </c>
      <c r="BM17" s="98">
        <f t="shared" si="5"/>
        <v>1.3693551448520422</v>
      </c>
      <c r="BN17" s="33">
        <f t="shared" si="30"/>
        <v>0</v>
      </c>
      <c r="BO17" s="21">
        <v>41590524.25</v>
      </c>
      <c r="BP17" s="21">
        <v>31529977.3</v>
      </c>
      <c r="BQ17" s="102">
        <f t="shared" si="31"/>
        <v>1.319</v>
      </c>
      <c r="BR17" s="22">
        <f t="shared" si="32"/>
        <v>1</v>
      </c>
      <c r="BS17" s="48" t="s">
        <v>24</v>
      </c>
      <c r="BT17" s="19">
        <f>IF(BS17="да",1,0)</f>
        <v>1</v>
      </c>
      <c r="BU17" s="35" t="s">
        <v>24</v>
      </c>
      <c r="BV17" s="35" t="s">
        <v>24</v>
      </c>
      <c r="BW17" s="36" t="s">
        <v>24</v>
      </c>
      <c r="BX17" s="33">
        <f t="shared" si="37"/>
        <v>1</v>
      </c>
      <c r="BY17" s="49" t="s">
        <v>24</v>
      </c>
      <c r="BZ17" s="50">
        <f>IF(BY17="да",1,0)</f>
        <v>1</v>
      </c>
      <c r="CA17" s="49" t="s">
        <v>24</v>
      </c>
      <c r="CB17" s="50">
        <f>IF(CA17="да",1,0)</f>
        <v>1</v>
      </c>
      <c r="CC17" s="120">
        <f t="shared" si="6"/>
        <v>21.5</v>
      </c>
      <c r="CD17" s="119">
        <f t="shared" si="38"/>
        <v>21.5</v>
      </c>
      <c r="CE17" s="131" t="s">
        <v>137</v>
      </c>
      <c r="CF17" s="104">
        <v>18.5</v>
      </c>
      <c r="CG17" s="104"/>
      <c r="CH17" s="51"/>
      <c r="CJ17" s="126"/>
    </row>
    <row r="18" spans="1:88" ht="12.75" customHeight="1">
      <c r="A18" s="18">
        <v>12</v>
      </c>
      <c r="B18" s="37" t="s">
        <v>118</v>
      </c>
      <c r="C18" s="39">
        <v>209858700.2</v>
      </c>
      <c r="D18" s="40">
        <v>213346371.18</v>
      </c>
      <c r="E18" s="103">
        <f t="shared" si="7"/>
        <v>0.984</v>
      </c>
      <c r="F18" s="22">
        <f t="shared" si="8"/>
        <v>1.5</v>
      </c>
      <c r="G18" s="42">
        <v>7</v>
      </c>
      <c r="H18" s="22">
        <f aca="true" t="shared" si="40" ref="H18:H37">IF(G18&lt;=4,1,0)</f>
        <v>0</v>
      </c>
      <c r="I18" s="41">
        <v>63961843.33</v>
      </c>
      <c r="J18" s="24">
        <v>62966534.42</v>
      </c>
      <c r="K18" s="108">
        <f t="shared" si="9"/>
        <v>1.016</v>
      </c>
      <c r="L18" s="22">
        <f t="shared" si="10"/>
        <v>1</v>
      </c>
      <c r="M18" s="39">
        <v>63961843.33</v>
      </c>
      <c r="N18" s="21">
        <v>59593694</v>
      </c>
      <c r="O18" s="26">
        <f t="shared" si="11"/>
        <v>0.07329885155298475</v>
      </c>
      <c r="P18" s="43">
        <f t="shared" si="12"/>
        <v>1</v>
      </c>
      <c r="Q18" s="94">
        <v>0</v>
      </c>
      <c r="R18" s="94">
        <v>3</v>
      </c>
      <c r="S18" s="100">
        <f t="shared" si="13"/>
        <v>0</v>
      </c>
      <c r="T18" s="22">
        <f t="shared" si="14"/>
        <v>0</v>
      </c>
      <c r="U18" s="94">
        <v>1</v>
      </c>
      <c r="V18" s="94">
        <v>4</v>
      </c>
      <c r="W18" s="100">
        <f t="shared" si="15"/>
        <v>0.25</v>
      </c>
      <c r="X18" s="22">
        <f t="shared" si="16"/>
        <v>0</v>
      </c>
      <c r="Y18" s="94">
        <v>101</v>
      </c>
      <c r="Z18" s="94">
        <v>117</v>
      </c>
      <c r="AA18" s="100">
        <f t="shared" si="17"/>
        <v>0.8632478632478633</v>
      </c>
      <c r="AB18" s="22">
        <f t="shared" si="18"/>
        <v>1</v>
      </c>
      <c r="AC18" s="27">
        <v>100000</v>
      </c>
      <c r="AD18" s="27">
        <v>181765726.32</v>
      </c>
      <c r="AE18" s="96">
        <f t="shared" si="1"/>
        <v>0.0005501587236746119</v>
      </c>
      <c r="AF18" s="22">
        <f t="shared" si="39"/>
        <v>0</v>
      </c>
      <c r="AG18" s="23">
        <v>7433790.49</v>
      </c>
      <c r="AH18" s="23">
        <v>213346371.18</v>
      </c>
      <c r="AI18" s="100">
        <f t="shared" si="19"/>
        <v>0.035</v>
      </c>
      <c r="AJ18" s="22">
        <f t="shared" si="20"/>
        <v>0</v>
      </c>
      <c r="AK18" s="35" t="s">
        <v>104</v>
      </c>
      <c r="AL18" s="19">
        <f t="shared" si="21"/>
        <v>0</v>
      </c>
      <c r="AM18" s="44">
        <v>0</v>
      </c>
      <c r="AN18" s="22">
        <f t="shared" si="22"/>
        <v>3</v>
      </c>
      <c r="AO18" s="23">
        <v>2447.95</v>
      </c>
      <c r="AP18" s="41">
        <v>2550.63</v>
      </c>
      <c r="AQ18" s="96">
        <f t="shared" si="23"/>
        <v>0.9597</v>
      </c>
      <c r="AR18" s="22">
        <f t="shared" si="24"/>
        <v>1</v>
      </c>
      <c r="AS18" s="41">
        <v>63961843.33</v>
      </c>
      <c r="AT18" s="41">
        <v>57977584.16</v>
      </c>
      <c r="AU18" s="110">
        <f t="shared" si="25"/>
        <v>1.103</v>
      </c>
      <c r="AV18" s="22">
        <f t="shared" si="2"/>
        <v>1.5</v>
      </c>
      <c r="AW18" s="45">
        <v>0</v>
      </c>
      <c r="AX18" s="30">
        <f t="shared" si="3"/>
        <v>1</v>
      </c>
      <c r="AY18" s="31">
        <v>1</v>
      </c>
      <c r="AZ18" s="46">
        <v>1</v>
      </c>
      <c r="BA18" s="115">
        <f t="shared" si="26"/>
        <v>2</v>
      </c>
      <c r="BB18" s="30">
        <f t="shared" si="4"/>
        <v>2</v>
      </c>
      <c r="BC18" s="44" t="s">
        <v>24</v>
      </c>
      <c r="BD18" s="19">
        <f t="shared" si="27"/>
        <v>1</v>
      </c>
      <c r="BE18" s="19">
        <v>0</v>
      </c>
      <c r="BF18" s="47">
        <v>108881538.61</v>
      </c>
      <c r="BG18" s="113">
        <f t="shared" si="28"/>
        <v>0</v>
      </c>
      <c r="BH18" s="33">
        <f t="shared" si="29"/>
        <v>1</v>
      </c>
      <c r="BI18" s="21">
        <v>20701124.15</v>
      </c>
      <c r="BJ18" s="21">
        <v>24207913.52</v>
      </c>
      <c r="BK18" s="21">
        <v>18985338.19</v>
      </c>
      <c r="BL18" s="21">
        <v>32786182.77</v>
      </c>
      <c r="BM18" s="98">
        <f t="shared" si="5"/>
        <v>1.539392896262341</v>
      </c>
      <c r="BN18" s="33">
        <f t="shared" si="30"/>
        <v>0</v>
      </c>
      <c r="BO18" s="21">
        <v>2474421.84</v>
      </c>
      <c r="BP18" s="21">
        <v>1847064.1</v>
      </c>
      <c r="BQ18" s="102">
        <f t="shared" si="31"/>
        <v>1.34</v>
      </c>
      <c r="BR18" s="22">
        <f t="shared" si="32"/>
        <v>1</v>
      </c>
      <c r="BS18" s="48" t="s">
        <v>24</v>
      </c>
      <c r="BT18" s="19">
        <f t="shared" si="33"/>
        <v>1</v>
      </c>
      <c r="BU18" s="35" t="s">
        <v>24</v>
      </c>
      <c r="BV18" s="35" t="s">
        <v>24</v>
      </c>
      <c r="BW18" s="36" t="s">
        <v>24</v>
      </c>
      <c r="BX18" s="33">
        <f t="shared" si="37"/>
        <v>1</v>
      </c>
      <c r="BY18" s="49" t="s">
        <v>24</v>
      </c>
      <c r="BZ18" s="50">
        <f t="shared" si="34"/>
        <v>1</v>
      </c>
      <c r="CA18" s="49" t="s">
        <v>187</v>
      </c>
      <c r="CB18" s="50">
        <f t="shared" si="35"/>
        <v>0</v>
      </c>
      <c r="CC18" s="120">
        <f t="shared" si="6"/>
        <v>19</v>
      </c>
      <c r="CD18" s="119">
        <f t="shared" si="38"/>
        <v>19</v>
      </c>
      <c r="CE18" s="131" t="s">
        <v>121</v>
      </c>
      <c r="CF18" s="133">
        <v>18</v>
      </c>
      <c r="CG18" s="121"/>
      <c r="CH18" s="54"/>
      <c r="CJ18" s="126"/>
    </row>
    <row r="19" spans="1:88" ht="12.75" customHeight="1">
      <c r="A19" s="18">
        <v>13</v>
      </c>
      <c r="B19" s="37" t="s">
        <v>159</v>
      </c>
      <c r="C19" s="39">
        <v>1084137507.3</v>
      </c>
      <c r="D19" s="40">
        <v>1086718170.26</v>
      </c>
      <c r="E19" s="103">
        <f t="shared" si="7"/>
        <v>0.998</v>
      </c>
      <c r="F19" s="22">
        <f t="shared" si="8"/>
        <v>1.5</v>
      </c>
      <c r="G19" s="42">
        <v>5</v>
      </c>
      <c r="H19" s="22">
        <f t="shared" si="40"/>
        <v>0</v>
      </c>
      <c r="I19" s="41">
        <v>257345818.99</v>
      </c>
      <c r="J19" s="24">
        <v>242481616.7</v>
      </c>
      <c r="K19" s="108">
        <f t="shared" si="9"/>
        <v>1.061</v>
      </c>
      <c r="L19" s="22">
        <f t="shared" si="10"/>
        <v>1</v>
      </c>
      <c r="M19" s="39">
        <v>257345818.99</v>
      </c>
      <c r="N19" s="21">
        <v>234260500</v>
      </c>
      <c r="O19" s="26">
        <f t="shared" si="11"/>
        <v>0.09854550378745033</v>
      </c>
      <c r="P19" s="43">
        <f t="shared" si="12"/>
        <v>1</v>
      </c>
      <c r="Q19" s="94">
        <v>0</v>
      </c>
      <c r="R19" s="94">
        <v>1</v>
      </c>
      <c r="S19" s="100">
        <f t="shared" si="13"/>
        <v>0</v>
      </c>
      <c r="T19" s="22">
        <f t="shared" si="14"/>
        <v>0</v>
      </c>
      <c r="U19" s="94">
        <v>1</v>
      </c>
      <c r="V19" s="94">
        <v>1</v>
      </c>
      <c r="W19" s="100">
        <f t="shared" si="15"/>
        <v>1</v>
      </c>
      <c r="X19" s="22">
        <f t="shared" si="16"/>
        <v>1</v>
      </c>
      <c r="Y19" s="94">
        <v>92</v>
      </c>
      <c r="Z19" s="94">
        <v>117</v>
      </c>
      <c r="AA19" s="100">
        <f t="shared" si="17"/>
        <v>0.7863247863247863</v>
      </c>
      <c r="AB19" s="22">
        <f t="shared" si="18"/>
        <v>0</v>
      </c>
      <c r="AC19" s="27">
        <v>300000</v>
      </c>
      <c r="AD19" s="27">
        <v>873919919.71</v>
      </c>
      <c r="AE19" s="96">
        <f t="shared" si="1"/>
        <v>0.00034328088104405657</v>
      </c>
      <c r="AF19" s="22">
        <f t="shared" si="39"/>
        <v>0</v>
      </c>
      <c r="AG19" s="23">
        <v>105608415.35</v>
      </c>
      <c r="AH19" s="23">
        <v>1086718170.26</v>
      </c>
      <c r="AI19" s="100">
        <f t="shared" si="19"/>
        <v>0.097</v>
      </c>
      <c r="AJ19" s="22">
        <f t="shared" si="20"/>
        <v>0</v>
      </c>
      <c r="AK19" s="35" t="s">
        <v>24</v>
      </c>
      <c r="AL19" s="19">
        <f t="shared" si="21"/>
        <v>1</v>
      </c>
      <c r="AM19" s="44">
        <v>0</v>
      </c>
      <c r="AN19" s="22">
        <f t="shared" si="22"/>
        <v>3</v>
      </c>
      <c r="AO19" s="23">
        <v>17288.21</v>
      </c>
      <c r="AP19" s="41">
        <v>21371.74</v>
      </c>
      <c r="AQ19" s="96">
        <f t="shared" si="23"/>
        <v>0.8089</v>
      </c>
      <c r="AR19" s="22">
        <f t="shared" si="24"/>
        <v>1</v>
      </c>
      <c r="AS19" s="41">
        <v>257345818.99</v>
      </c>
      <c r="AT19" s="41">
        <v>363853105.89</v>
      </c>
      <c r="AU19" s="110">
        <f t="shared" si="25"/>
        <v>0.707</v>
      </c>
      <c r="AV19" s="22">
        <f t="shared" si="2"/>
        <v>0</v>
      </c>
      <c r="AW19" s="45">
        <v>0</v>
      </c>
      <c r="AX19" s="30">
        <f t="shared" si="3"/>
        <v>1</v>
      </c>
      <c r="AY19" s="31">
        <v>1</v>
      </c>
      <c r="AZ19" s="46">
        <v>1</v>
      </c>
      <c r="BA19" s="115">
        <f t="shared" si="26"/>
        <v>2</v>
      </c>
      <c r="BB19" s="30">
        <f t="shared" si="4"/>
        <v>2</v>
      </c>
      <c r="BC19" s="44" t="s">
        <v>104</v>
      </c>
      <c r="BD19" s="19">
        <f t="shared" si="27"/>
        <v>0</v>
      </c>
      <c r="BE19" s="19">
        <v>0</v>
      </c>
      <c r="BF19" s="47">
        <v>575111299.38</v>
      </c>
      <c r="BG19" s="113">
        <f t="shared" si="28"/>
        <v>0</v>
      </c>
      <c r="BH19" s="33">
        <f t="shared" si="29"/>
        <v>1</v>
      </c>
      <c r="BI19" s="21">
        <v>63870985.83</v>
      </c>
      <c r="BJ19" s="21">
        <v>81987831.1</v>
      </c>
      <c r="BK19" s="21">
        <v>97125337.84</v>
      </c>
      <c r="BL19" s="21">
        <v>163014300.76</v>
      </c>
      <c r="BM19" s="98">
        <f t="shared" si="5"/>
        <v>2.0126534701117045</v>
      </c>
      <c r="BN19" s="33">
        <f t="shared" si="30"/>
        <v>0</v>
      </c>
      <c r="BO19" s="21">
        <v>24857015.88</v>
      </c>
      <c r="BP19" s="21">
        <v>17683141.2</v>
      </c>
      <c r="BQ19" s="102">
        <f t="shared" si="31"/>
        <v>1.406</v>
      </c>
      <c r="BR19" s="22">
        <f t="shared" si="32"/>
        <v>1</v>
      </c>
      <c r="BS19" s="48" t="s">
        <v>24</v>
      </c>
      <c r="BT19" s="19">
        <f t="shared" si="33"/>
        <v>1</v>
      </c>
      <c r="BU19" s="35" t="s">
        <v>24</v>
      </c>
      <c r="BV19" s="35" t="s">
        <v>24</v>
      </c>
      <c r="BW19" s="36" t="s">
        <v>24</v>
      </c>
      <c r="BX19" s="33">
        <f t="shared" si="37"/>
        <v>1</v>
      </c>
      <c r="BY19" s="49" t="s">
        <v>24</v>
      </c>
      <c r="BZ19" s="50">
        <f t="shared" si="34"/>
        <v>1</v>
      </c>
      <c r="CA19" s="49" t="s">
        <v>24</v>
      </c>
      <c r="CB19" s="50">
        <f t="shared" si="35"/>
        <v>1</v>
      </c>
      <c r="CC19" s="120">
        <f t="shared" si="6"/>
        <v>18.5</v>
      </c>
      <c r="CD19" s="119">
        <v>0</v>
      </c>
      <c r="CE19" s="131" t="s">
        <v>134</v>
      </c>
      <c r="CF19" s="133">
        <v>18</v>
      </c>
      <c r="CG19" s="121"/>
      <c r="CH19" s="54"/>
      <c r="CJ19" s="126"/>
    </row>
    <row r="20" spans="1:88" ht="12.75" customHeight="1">
      <c r="A20" s="18">
        <v>14</v>
      </c>
      <c r="B20" s="37" t="s">
        <v>120</v>
      </c>
      <c r="C20" s="39">
        <v>353378717.9</v>
      </c>
      <c r="D20" s="40">
        <v>355082867.08</v>
      </c>
      <c r="E20" s="103">
        <f t="shared" si="7"/>
        <v>0.995</v>
      </c>
      <c r="F20" s="22">
        <f t="shared" si="8"/>
        <v>1.5</v>
      </c>
      <c r="G20" s="42">
        <v>9</v>
      </c>
      <c r="H20" s="22">
        <f t="shared" si="40"/>
        <v>0</v>
      </c>
      <c r="I20" s="41">
        <v>82221099.64</v>
      </c>
      <c r="J20" s="24">
        <v>81467751.91</v>
      </c>
      <c r="K20" s="108">
        <f t="shared" si="9"/>
        <v>1.009</v>
      </c>
      <c r="L20" s="22">
        <f t="shared" si="10"/>
        <v>1</v>
      </c>
      <c r="M20" s="39">
        <v>82221099.64</v>
      </c>
      <c r="N20" s="21">
        <v>77816400</v>
      </c>
      <c r="O20" s="26">
        <f t="shared" si="11"/>
        <v>0.05660374471191164</v>
      </c>
      <c r="P20" s="43">
        <f t="shared" si="12"/>
        <v>1</v>
      </c>
      <c r="Q20" s="94">
        <v>0</v>
      </c>
      <c r="R20" s="94">
        <v>6</v>
      </c>
      <c r="S20" s="100">
        <f t="shared" si="13"/>
        <v>0</v>
      </c>
      <c r="T20" s="22">
        <f t="shared" si="14"/>
        <v>0</v>
      </c>
      <c r="U20" s="94">
        <v>5</v>
      </c>
      <c r="V20" s="94">
        <v>7</v>
      </c>
      <c r="W20" s="100">
        <f t="shared" si="15"/>
        <v>0.7142857142857143</v>
      </c>
      <c r="X20" s="22">
        <f t="shared" si="16"/>
        <v>1</v>
      </c>
      <c r="Y20" s="94">
        <v>89</v>
      </c>
      <c r="Z20" s="94">
        <v>117</v>
      </c>
      <c r="AA20" s="100">
        <f t="shared" si="17"/>
        <v>0.7606837606837606</v>
      </c>
      <c r="AB20" s="22">
        <f t="shared" si="18"/>
        <v>0</v>
      </c>
      <c r="AC20" s="27">
        <v>50000</v>
      </c>
      <c r="AD20" s="27">
        <v>244502350.77</v>
      </c>
      <c r="AE20" s="96">
        <f t="shared" si="1"/>
        <v>0.00020449701134789625</v>
      </c>
      <c r="AF20" s="22">
        <f t="shared" si="39"/>
        <v>0</v>
      </c>
      <c r="AG20" s="23">
        <v>11675562.52</v>
      </c>
      <c r="AH20" s="23">
        <v>355082867.08</v>
      </c>
      <c r="AI20" s="100">
        <f t="shared" si="19"/>
        <v>0.033</v>
      </c>
      <c r="AJ20" s="22">
        <f t="shared" si="20"/>
        <v>0</v>
      </c>
      <c r="AK20" s="35" t="s">
        <v>104</v>
      </c>
      <c r="AL20" s="19">
        <f t="shared" si="21"/>
        <v>0</v>
      </c>
      <c r="AM20" s="44">
        <v>0</v>
      </c>
      <c r="AN20" s="22">
        <f t="shared" si="22"/>
        <v>3</v>
      </c>
      <c r="AO20" s="23">
        <v>8002.82</v>
      </c>
      <c r="AP20" s="41">
        <v>8539.35</v>
      </c>
      <c r="AQ20" s="96">
        <f t="shared" si="23"/>
        <v>0.9372</v>
      </c>
      <c r="AR20" s="22">
        <f t="shared" si="24"/>
        <v>1</v>
      </c>
      <c r="AS20" s="41">
        <v>82221099.64</v>
      </c>
      <c r="AT20" s="41">
        <v>77642209.34</v>
      </c>
      <c r="AU20" s="110">
        <f t="shared" si="25"/>
        <v>1.059</v>
      </c>
      <c r="AV20" s="22">
        <f t="shared" si="2"/>
        <v>1</v>
      </c>
      <c r="AW20" s="45">
        <v>0</v>
      </c>
      <c r="AX20" s="30">
        <f t="shared" si="3"/>
        <v>1</v>
      </c>
      <c r="AY20" s="31">
        <v>1</v>
      </c>
      <c r="AZ20" s="46">
        <v>1</v>
      </c>
      <c r="BA20" s="115">
        <f t="shared" si="26"/>
        <v>2</v>
      </c>
      <c r="BB20" s="30">
        <f t="shared" si="4"/>
        <v>2</v>
      </c>
      <c r="BC20" s="44" t="s">
        <v>104</v>
      </c>
      <c r="BD20" s="19">
        <f t="shared" si="27"/>
        <v>0</v>
      </c>
      <c r="BE20" s="19">
        <v>0</v>
      </c>
      <c r="BF20" s="47">
        <v>175819043.33</v>
      </c>
      <c r="BG20" s="113">
        <f t="shared" si="28"/>
        <v>0</v>
      </c>
      <c r="BH20" s="33">
        <f t="shared" si="29"/>
        <v>1</v>
      </c>
      <c r="BI20" s="21">
        <v>31092945.26</v>
      </c>
      <c r="BJ20" s="21">
        <v>30596622.47</v>
      </c>
      <c r="BK20" s="21">
        <v>30494179.87</v>
      </c>
      <c r="BL20" s="21">
        <v>47985441.74</v>
      </c>
      <c r="BM20" s="98">
        <f t="shared" si="5"/>
        <v>1.5616237023108397</v>
      </c>
      <c r="BN20" s="33">
        <f t="shared" si="30"/>
        <v>0</v>
      </c>
      <c r="BO20" s="21">
        <v>5912058.52</v>
      </c>
      <c r="BP20" s="21">
        <v>5084114.8</v>
      </c>
      <c r="BQ20" s="102">
        <f t="shared" si="31"/>
        <v>1.163</v>
      </c>
      <c r="BR20" s="22">
        <f t="shared" si="32"/>
        <v>1</v>
      </c>
      <c r="BS20" s="48" t="s">
        <v>24</v>
      </c>
      <c r="BT20" s="19">
        <f t="shared" si="33"/>
        <v>1</v>
      </c>
      <c r="BU20" s="35" t="s">
        <v>24</v>
      </c>
      <c r="BV20" s="35" t="s">
        <v>24</v>
      </c>
      <c r="BW20" s="36" t="s">
        <v>105</v>
      </c>
      <c r="BX20" s="33">
        <f t="shared" si="37"/>
        <v>0</v>
      </c>
      <c r="BY20" s="49" t="s">
        <v>24</v>
      </c>
      <c r="BZ20" s="50">
        <f t="shared" si="34"/>
        <v>1</v>
      </c>
      <c r="CA20" s="49" t="s">
        <v>24</v>
      </c>
      <c r="CB20" s="50">
        <f t="shared" si="35"/>
        <v>1</v>
      </c>
      <c r="CC20" s="120">
        <f t="shared" si="6"/>
        <v>17.5</v>
      </c>
      <c r="CD20" s="119">
        <f t="shared" si="38"/>
        <v>17.5</v>
      </c>
      <c r="CE20" s="131" t="s">
        <v>108</v>
      </c>
      <c r="CF20" s="133">
        <v>17.5</v>
      </c>
      <c r="CG20" s="121"/>
      <c r="CH20" s="54"/>
      <c r="CJ20" s="126"/>
    </row>
    <row r="21" spans="1:88" ht="12.75" customHeight="1">
      <c r="A21" s="18">
        <v>15</v>
      </c>
      <c r="B21" s="37" t="s">
        <v>121</v>
      </c>
      <c r="C21" s="39">
        <v>769005771.38</v>
      </c>
      <c r="D21" s="40">
        <v>772284575.38</v>
      </c>
      <c r="E21" s="103">
        <f t="shared" si="7"/>
        <v>0.996</v>
      </c>
      <c r="F21" s="22">
        <f t="shared" si="8"/>
        <v>1.5</v>
      </c>
      <c r="G21" s="42">
        <v>11</v>
      </c>
      <c r="H21" s="22">
        <f t="shared" si="40"/>
        <v>0</v>
      </c>
      <c r="I21" s="41">
        <v>321170666.38</v>
      </c>
      <c r="J21" s="24">
        <v>303287208.53</v>
      </c>
      <c r="K21" s="108">
        <f t="shared" si="9"/>
        <v>1.059</v>
      </c>
      <c r="L21" s="22">
        <f t="shared" si="10"/>
        <v>1</v>
      </c>
      <c r="M21" s="39">
        <v>321170666.38</v>
      </c>
      <c r="N21" s="21">
        <v>267820560</v>
      </c>
      <c r="O21" s="26">
        <f t="shared" si="11"/>
        <v>0.1992009365524439</v>
      </c>
      <c r="P21" s="43">
        <f t="shared" si="12"/>
        <v>0</v>
      </c>
      <c r="Q21" s="94">
        <v>0</v>
      </c>
      <c r="R21" s="94">
        <v>8</v>
      </c>
      <c r="S21" s="100">
        <f t="shared" si="13"/>
        <v>0</v>
      </c>
      <c r="T21" s="22">
        <f t="shared" si="14"/>
        <v>0</v>
      </c>
      <c r="U21" s="94">
        <v>2</v>
      </c>
      <c r="V21" s="94">
        <v>9</v>
      </c>
      <c r="W21" s="100">
        <f t="shared" si="15"/>
        <v>0.2222222222222222</v>
      </c>
      <c r="X21" s="22">
        <f t="shared" si="16"/>
        <v>0</v>
      </c>
      <c r="Y21" s="94">
        <v>97</v>
      </c>
      <c r="Z21" s="94">
        <v>117</v>
      </c>
      <c r="AA21" s="100">
        <f t="shared" si="17"/>
        <v>0.8290598290598291</v>
      </c>
      <c r="AB21" s="22">
        <f t="shared" si="18"/>
        <v>1</v>
      </c>
      <c r="AC21" s="27">
        <v>200000</v>
      </c>
      <c r="AD21" s="27">
        <v>531206350.22</v>
      </c>
      <c r="AE21" s="96">
        <f t="shared" si="1"/>
        <v>0.0003765015232162975</v>
      </c>
      <c r="AF21" s="22">
        <f t="shared" si="39"/>
        <v>0</v>
      </c>
      <c r="AG21" s="23">
        <v>35160117.34</v>
      </c>
      <c r="AH21" s="23">
        <v>772284575.38</v>
      </c>
      <c r="AI21" s="100">
        <f t="shared" si="19"/>
        <v>0.046</v>
      </c>
      <c r="AJ21" s="22">
        <f t="shared" si="20"/>
        <v>0</v>
      </c>
      <c r="AK21" s="35" t="s">
        <v>24</v>
      </c>
      <c r="AL21" s="19">
        <f t="shared" si="21"/>
        <v>1</v>
      </c>
      <c r="AM21" s="44">
        <v>0</v>
      </c>
      <c r="AN21" s="22">
        <f t="shared" si="22"/>
        <v>3</v>
      </c>
      <c r="AO21" s="23">
        <v>41202.39</v>
      </c>
      <c r="AP21" s="41">
        <v>44164.16</v>
      </c>
      <c r="AQ21" s="96">
        <f t="shared" si="23"/>
        <v>0.9329</v>
      </c>
      <c r="AR21" s="22">
        <f t="shared" si="24"/>
        <v>1</v>
      </c>
      <c r="AS21" s="41">
        <v>321170666.38</v>
      </c>
      <c r="AT21" s="41">
        <v>274705625.08</v>
      </c>
      <c r="AU21" s="110">
        <f t="shared" si="25"/>
        <v>1.169</v>
      </c>
      <c r="AV21" s="22">
        <f t="shared" si="2"/>
        <v>1.5</v>
      </c>
      <c r="AW21" s="45">
        <v>0</v>
      </c>
      <c r="AX21" s="30">
        <f t="shared" si="3"/>
        <v>1</v>
      </c>
      <c r="AY21" s="31">
        <v>1</v>
      </c>
      <c r="AZ21" s="46">
        <v>1</v>
      </c>
      <c r="BA21" s="115">
        <f t="shared" si="26"/>
        <v>2</v>
      </c>
      <c r="BB21" s="30">
        <f t="shared" si="4"/>
        <v>2</v>
      </c>
      <c r="BC21" s="44" t="s">
        <v>104</v>
      </c>
      <c r="BD21" s="19">
        <f t="shared" si="27"/>
        <v>0</v>
      </c>
      <c r="BE21" s="19">
        <v>0</v>
      </c>
      <c r="BF21" s="47">
        <v>318869548.03</v>
      </c>
      <c r="BG21" s="113">
        <f t="shared" si="28"/>
        <v>0</v>
      </c>
      <c r="BH21" s="33">
        <f t="shared" si="29"/>
        <v>1</v>
      </c>
      <c r="BI21" s="21">
        <v>75697344.83</v>
      </c>
      <c r="BJ21" s="21">
        <v>90393784.85</v>
      </c>
      <c r="BK21" s="21">
        <v>76495611.48</v>
      </c>
      <c r="BL21" s="21">
        <v>106691586.74</v>
      </c>
      <c r="BM21" s="98">
        <f t="shared" si="5"/>
        <v>1.319423966410811</v>
      </c>
      <c r="BN21" s="33">
        <f t="shared" si="30"/>
        <v>0</v>
      </c>
      <c r="BO21" s="21">
        <v>20473938.03</v>
      </c>
      <c r="BP21" s="21">
        <v>17367927.4</v>
      </c>
      <c r="BQ21" s="102">
        <f t="shared" si="31"/>
        <v>1.179</v>
      </c>
      <c r="BR21" s="22">
        <f t="shared" si="32"/>
        <v>1</v>
      </c>
      <c r="BS21" s="48" t="s">
        <v>24</v>
      </c>
      <c r="BT21" s="19">
        <f t="shared" si="33"/>
        <v>1</v>
      </c>
      <c r="BU21" s="35" t="s">
        <v>24</v>
      </c>
      <c r="BV21" s="35" t="s">
        <v>24</v>
      </c>
      <c r="BW21" s="36" t="s">
        <v>24</v>
      </c>
      <c r="BX21" s="33">
        <f t="shared" si="37"/>
        <v>1</v>
      </c>
      <c r="BY21" s="49" t="s">
        <v>24</v>
      </c>
      <c r="BZ21" s="50">
        <f t="shared" si="34"/>
        <v>1</v>
      </c>
      <c r="CA21" s="49" t="s">
        <v>187</v>
      </c>
      <c r="CB21" s="50">
        <f t="shared" si="35"/>
        <v>0</v>
      </c>
      <c r="CC21" s="120">
        <f t="shared" si="6"/>
        <v>18</v>
      </c>
      <c r="CD21" s="119">
        <f t="shared" si="38"/>
        <v>18</v>
      </c>
      <c r="CE21" s="131" t="s">
        <v>120</v>
      </c>
      <c r="CF21" s="133">
        <v>17.5</v>
      </c>
      <c r="CG21" s="121"/>
      <c r="CH21" s="54"/>
      <c r="CJ21" s="126"/>
    </row>
    <row r="22" spans="1:88" ht="12.75" customHeight="1">
      <c r="A22" s="18">
        <v>16</v>
      </c>
      <c r="B22" s="37" t="s">
        <v>122</v>
      </c>
      <c r="C22" s="39">
        <v>431813845.1</v>
      </c>
      <c r="D22" s="40">
        <v>433724789.74</v>
      </c>
      <c r="E22" s="103">
        <f t="shared" si="7"/>
        <v>0.996</v>
      </c>
      <c r="F22" s="22">
        <f t="shared" si="8"/>
        <v>1.5</v>
      </c>
      <c r="G22" s="42">
        <v>2</v>
      </c>
      <c r="H22" s="22">
        <f t="shared" si="40"/>
        <v>1</v>
      </c>
      <c r="I22" s="41">
        <v>101775352.68</v>
      </c>
      <c r="J22" s="24">
        <v>98533606.44</v>
      </c>
      <c r="K22" s="108">
        <f t="shared" si="9"/>
        <v>1.033</v>
      </c>
      <c r="L22" s="22">
        <f t="shared" si="10"/>
        <v>1</v>
      </c>
      <c r="M22" s="39">
        <v>101775352.68</v>
      </c>
      <c r="N22" s="21">
        <v>95327900</v>
      </c>
      <c r="O22" s="26">
        <f t="shared" si="11"/>
        <v>0.06763447720971517</v>
      </c>
      <c r="P22" s="43">
        <f t="shared" si="12"/>
        <v>1</v>
      </c>
      <c r="Q22" s="94">
        <v>6</v>
      </c>
      <c r="R22" s="94">
        <v>6</v>
      </c>
      <c r="S22" s="100">
        <f t="shared" si="13"/>
        <v>1</v>
      </c>
      <c r="T22" s="22">
        <f t="shared" si="14"/>
        <v>1</v>
      </c>
      <c r="U22" s="94">
        <v>1</v>
      </c>
      <c r="V22" s="94">
        <v>7</v>
      </c>
      <c r="W22" s="100">
        <f t="shared" si="15"/>
        <v>0.14285714285714285</v>
      </c>
      <c r="X22" s="22">
        <f t="shared" si="16"/>
        <v>0</v>
      </c>
      <c r="Y22" s="94">
        <v>104</v>
      </c>
      <c r="Z22" s="94">
        <v>117</v>
      </c>
      <c r="AA22" s="100">
        <f t="shared" si="17"/>
        <v>0.8888888888888888</v>
      </c>
      <c r="AB22" s="22">
        <f t="shared" si="18"/>
        <v>1</v>
      </c>
      <c r="AC22" s="27">
        <v>100000</v>
      </c>
      <c r="AD22" s="27">
        <v>298692613.03</v>
      </c>
      <c r="AE22" s="96">
        <f t="shared" si="1"/>
        <v>0.00033479234382658216</v>
      </c>
      <c r="AF22" s="22">
        <f t="shared" si="39"/>
        <v>0</v>
      </c>
      <c r="AG22" s="23">
        <v>18076215.45</v>
      </c>
      <c r="AH22" s="23">
        <v>433724789.74</v>
      </c>
      <c r="AI22" s="100">
        <f t="shared" si="19"/>
        <v>0.042</v>
      </c>
      <c r="AJ22" s="22">
        <f t="shared" si="20"/>
        <v>0</v>
      </c>
      <c r="AK22" s="35" t="s">
        <v>24</v>
      </c>
      <c r="AL22" s="19">
        <f t="shared" si="21"/>
        <v>1</v>
      </c>
      <c r="AM22" s="44">
        <v>0</v>
      </c>
      <c r="AN22" s="22">
        <f t="shared" si="22"/>
        <v>3</v>
      </c>
      <c r="AO22" s="23">
        <v>7020.53</v>
      </c>
      <c r="AP22" s="41">
        <v>6209.61</v>
      </c>
      <c r="AQ22" s="96">
        <f t="shared" si="23"/>
        <v>1.1306</v>
      </c>
      <c r="AR22" s="22">
        <f t="shared" si="24"/>
        <v>0</v>
      </c>
      <c r="AS22" s="41">
        <v>101775352.68</v>
      </c>
      <c r="AT22" s="41">
        <v>110652170.2</v>
      </c>
      <c r="AU22" s="110">
        <f t="shared" si="25"/>
        <v>0.92</v>
      </c>
      <c r="AV22" s="22">
        <f t="shared" si="2"/>
        <v>0</v>
      </c>
      <c r="AW22" s="45">
        <v>0</v>
      </c>
      <c r="AX22" s="30">
        <f t="shared" si="3"/>
        <v>1</v>
      </c>
      <c r="AY22" s="31">
        <v>1</v>
      </c>
      <c r="AZ22" s="46">
        <v>1</v>
      </c>
      <c r="BA22" s="115">
        <f t="shared" si="26"/>
        <v>2</v>
      </c>
      <c r="BB22" s="30">
        <f t="shared" si="4"/>
        <v>2</v>
      </c>
      <c r="BC22" s="44" t="s">
        <v>24</v>
      </c>
      <c r="BD22" s="19">
        <f t="shared" si="27"/>
        <v>1</v>
      </c>
      <c r="BE22" s="19">
        <v>0</v>
      </c>
      <c r="BF22" s="47">
        <v>179667506.41</v>
      </c>
      <c r="BG22" s="113">
        <f t="shared" si="28"/>
        <v>0</v>
      </c>
      <c r="BH22" s="33">
        <f t="shared" si="29"/>
        <v>1</v>
      </c>
      <c r="BI22" s="21">
        <v>36516091.9</v>
      </c>
      <c r="BJ22" s="21">
        <v>43760464.38</v>
      </c>
      <c r="BK22" s="21">
        <v>48837208.26</v>
      </c>
      <c r="BL22" s="21">
        <v>62710043.14</v>
      </c>
      <c r="BM22" s="98">
        <f t="shared" si="5"/>
        <v>1.4570880966120114</v>
      </c>
      <c r="BN22" s="33">
        <f t="shared" si="30"/>
        <v>0</v>
      </c>
      <c r="BO22" s="21">
        <v>6656663.48</v>
      </c>
      <c r="BP22" s="21">
        <v>5184572.1</v>
      </c>
      <c r="BQ22" s="102">
        <f t="shared" si="31"/>
        <v>1.284</v>
      </c>
      <c r="BR22" s="22">
        <f t="shared" si="32"/>
        <v>1</v>
      </c>
      <c r="BS22" s="48" t="s">
        <v>24</v>
      </c>
      <c r="BT22" s="19">
        <f t="shared" si="33"/>
        <v>1</v>
      </c>
      <c r="BU22" s="35" t="s">
        <v>24</v>
      </c>
      <c r="BV22" s="35" t="s">
        <v>24</v>
      </c>
      <c r="BW22" s="36" t="s">
        <v>24</v>
      </c>
      <c r="BX22" s="33">
        <f t="shared" si="37"/>
        <v>1</v>
      </c>
      <c r="BY22" s="49" t="s">
        <v>24</v>
      </c>
      <c r="BZ22" s="50">
        <f t="shared" si="34"/>
        <v>1</v>
      </c>
      <c r="CA22" s="49" t="s">
        <v>24</v>
      </c>
      <c r="CB22" s="50">
        <f t="shared" si="35"/>
        <v>1</v>
      </c>
      <c r="CC22" s="120">
        <f t="shared" si="6"/>
        <v>20.5</v>
      </c>
      <c r="CD22" s="119">
        <v>0</v>
      </c>
      <c r="CE22" s="131" t="s">
        <v>112</v>
      </c>
      <c r="CF22" s="133">
        <v>17</v>
      </c>
      <c r="CG22" s="121"/>
      <c r="CH22" s="54"/>
      <c r="CJ22" s="126"/>
    </row>
    <row r="23" spans="1:88" ht="12.75" customHeight="1">
      <c r="A23" s="18">
        <v>17</v>
      </c>
      <c r="B23" s="37" t="s">
        <v>123</v>
      </c>
      <c r="C23" s="39">
        <v>779594065.3</v>
      </c>
      <c r="D23" s="40">
        <v>782657610.94</v>
      </c>
      <c r="E23" s="103">
        <f t="shared" si="7"/>
        <v>0.996</v>
      </c>
      <c r="F23" s="22">
        <f t="shared" si="8"/>
        <v>1.5</v>
      </c>
      <c r="G23" s="42">
        <v>6</v>
      </c>
      <c r="H23" s="22">
        <f t="shared" si="40"/>
        <v>0</v>
      </c>
      <c r="I23" s="41">
        <v>271957993.44</v>
      </c>
      <c r="J23" s="24">
        <v>266885051.7</v>
      </c>
      <c r="K23" s="108">
        <f t="shared" si="9"/>
        <v>1.019</v>
      </c>
      <c r="L23" s="22">
        <f t="shared" si="10"/>
        <v>1</v>
      </c>
      <c r="M23" s="39">
        <v>271957993.44</v>
      </c>
      <c r="N23" s="21">
        <v>191294412</v>
      </c>
      <c r="O23" s="26">
        <f t="shared" si="11"/>
        <v>0.42167243986196523</v>
      </c>
      <c r="P23" s="43">
        <f t="shared" si="12"/>
        <v>0</v>
      </c>
      <c r="Q23" s="94">
        <v>14</v>
      </c>
      <c r="R23" s="94">
        <v>15</v>
      </c>
      <c r="S23" s="100">
        <f t="shared" si="13"/>
        <v>0.9333333333333333</v>
      </c>
      <c r="T23" s="22">
        <f t="shared" si="14"/>
        <v>1</v>
      </c>
      <c r="U23" s="94">
        <v>2</v>
      </c>
      <c r="V23" s="94">
        <v>16</v>
      </c>
      <c r="W23" s="100">
        <f t="shared" si="15"/>
        <v>0.125</v>
      </c>
      <c r="X23" s="22">
        <f t="shared" si="16"/>
        <v>0</v>
      </c>
      <c r="Y23" s="94">
        <v>91</v>
      </c>
      <c r="Z23" s="94">
        <v>117</v>
      </c>
      <c r="AA23" s="100">
        <f t="shared" si="17"/>
        <v>0.7777777777777778</v>
      </c>
      <c r="AB23" s="22">
        <f t="shared" si="18"/>
        <v>0</v>
      </c>
      <c r="AC23" s="27">
        <v>257000</v>
      </c>
      <c r="AD23" s="27">
        <v>501247629.11</v>
      </c>
      <c r="AE23" s="96">
        <f t="shared" si="1"/>
        <v>0.0005127206296343413</v>
      </c>
      <c r="AF23" s="22">
        <f t="shared" si="39"/>
        <v>0</v>
      </c>
      <c r="AG23" s="23">
        <v>21852034.19</v>
      </c>
      <c r="AH23" s="23">
        <v>782657610.94</v>
      </c>
      <c r="AI23" s="100">
        <f t="shared" si="19"/>
        <v>0.028</v>
      </c>
      <c r="AJ23" s="22">
        <f t="shared" si="20"/>
        <v>0</v>
      </c>
      <c r="AK23" s="35" t="s">
        <v>104</v>
      </c>
      <c r="AL23" s="19">
        <f t="shared" si="21"/>
        <v>0</v>
      </c>
      <c r="AM23" s="44">
        <v>0</v>
      </c>
      <c r="AN23" s="22">
        <f t="shared" si="22"/>
        <v>3</v>
      </c>
      <c r="AO23" s="23">
        <v>8394.24</v>
      </c>
      <c r="AP23" s="41">
        <v>9736.21</v>
      </c>
      <c r="AQ23" s="96">
        <f t="shared" si="23"/>
        <v>0.8622</v>
      </c>
      <c r="AR23" s="22">
        <f t="shared" si="24"/>
        <v>1</v>
      </c>
      <c r="AS23" s="41">
        <v>271957993.44</v>
      </c>
      <c r="AT23" s="41">
        <v>205632087.54</v>
      </c>
      <c r="AU23" s="110">
        <f t="shared" si="25"/>
        <v>1.323</v>
      </c>
      <c r="AV23" s="22">
        <f t="shared" si="2"/>
        <v>1.5</v>
      </c>
      <c r="AW23" s="45">
        <v>0</v>
      </c>
      <c r="AX23" s="30">
        <f t="shared" si="3"/>
        <v>1</v>
      </c>
      <c r="AY23" s="31">
        <v>1</v>
      </c>
      <c r="AZ23" s="46">
        <v>1</v>
      </c>
      <c r="BA23" s="115">
        <f t="shared" si="26"/>
        <v>2</v>
      </c>
      <c r="BB23" s="30">
        <f t="shared" si="4"/>
        <v>2</v>
      </c>
      <c r="BC23" s="44" t="s">
        <v>24</v>
      </c>
      <c r="BD23" s="19">
        <f t="shared" si="27"/>
        <v>1</v>
      </c>
      <c r="BE23" s="19">
        <v>0</v>
      </c>
      <c r="BF23" s="47">
        <v>335714936.75</v>
      </c>
      <c r="BG23" s="113">
        <f t="shared" si="28"/>
        <v>0</v>
      </c>
      <c r="BH23" s="33">
        <f t="shared" si="29"/>
        <v>1</v>
      </c>
      <c r="BI23" s="21">
        <v>67799716.56</v>
      </c>
      <c r="BJ23" s="21">
        <v>87288610.13</v>
      </c>
      <c r="BK23" s="21">
        <v>72973481.16</v>
      </c>
      <c r="BL23" s="21">
        <v>117250790.25</v>
      </c>
      <c r="BM23" s="98">
        <f t="shared" si="5"/>
        <v>1.5423554433162845</v>
      </c>
      <c r="BN23" s="33">
        <f t="shared" si="30"/>
        <v>0</v>
      </c>
      <c r="BO23" s="21">
        <v>20014293.42</v>
      </c>
      <c r="BP23" s="21">
        <v>16550735.1</v>
      </c>
      <c r="BQ23" s="102">
        <f t="shared" si="31"/>
        <v>1.209</v>
      </c>
      <c r="BR23" s="22">
        <f t="shared" si="32"/>
        <v>1</v>
      </c>
      <c r="BS23" s="48" t="s">
        <v>24</v>
      </c>
      <c r="BT23" s="19">
        <f t="shared" si="33"/>
        <v>1</v>
      </c>
      <c r="BU23" s="49" t="s">
        <v>24</v>
      </c>
      <c r="BV23" s="35" t="s">
        <v>24</v>
      </c>
      <c r="BW23" s="36" t="s">
        <v>24</v>
      </c>
      <c r="BX23" s="33">
        <f t="shared" si="37"/>
        <v>1</v>
      </c>
      <c r="BY23" s="49" t="s">
        <v>24</v>
      </c>
      <c r="BZ23" s="50">
        <f t="shared" si="34"/>
        <v>1</v>
      </c>
      <c r="CA23" s="49" t="s">
        <v>187</v>
      </c>
      <c r="CB23" s="50">
        <f t="shared" si="35"/>
        <v>0</v>
      </c>
      <c r="CC23" s="120">
        <f t="shared" si="6"/>
        <v>18</v>
      </c>
      <c r="CD23" s="119">
        <v>0</v>
      </c>
      <c r="CE23" s="131" t="s">
        <v>160</v>
      </c>
      <c r="CF23" s="104">
        <v>17</v>
      </c>
      <c r="CG23" s="104"/>
      <c r="CH23" s="54"/>
      <c r="CJ23" s="126"/>
    </row>
    <row r="24" spans="1:88" ht="12.75" customHeight="1">
      <c r="A24" s="18">
        <v>18</v>
      </c>
      <c r="B24" s="37" t="s">
        <v>124</v>
      </c>
      <c r="C24" s="39">
        <v>444609085.4</v>
      </c>
      <c r="D24" s="40">
        <v>449575303.4</v>
      </c>
      <c r="E24" s="103">
        <f t="shared" si="7"/>
        <v>0.989</v>
      </c>
      <c r="F24" s="22">
        <f t="shared" si="8"/>
        <v>1.5</v>
      </c>
      <c r="G24" s="42">
        <v>7</v>
      </c>
      <c r="H24" s="22">
        <f t="shared" si="40"/>
        <v>0</v>
      </c>
      <c r="I24" s="41">
        <v>143967961.12</v>
      </c>
      <c r="J24" s="24">
        <v>135129853.65</v>
      </c>
      <c r="K24" s="108">
        <f t="shared" si="9"/>
        <v>1.065</v>
      </c>
      <c r="L24" s="22">
        <f t="shared" si="10"/>
        <v>1</v>
      </c>
      <c r="M24" s="39">
        <v>143967961.12</v>
      </c>
      <c r="N24" s="21">
        <v>133919200</v>
      </c>
      <c r="O24" s="26">
        <f t="shared" si="11"/>
        <v>0.07503600021505509</v>
      </c>
      <c r="P24" s="43">
        <f t="shared" si="12"/>
        <v>1</v>
      </c>
      <c r="Q24" s="94">
        <v>9</v>
      </c>
      <c r="R24" s="94">
        <v>9</v>
      </c>
      <c r="S24" s="100">
        <f t="shared" si="13"/>
        <v>1</v>
      </c>
      <c r="T24" s="22">
        <f t="shared" si="14"/>
        <v>1</v>
      </c>
      <c r="U24" s="94">
        <v>6</v>
      </c>
      <c r="V24" s="94">
        <v>10</v>
      </c>
      <c r="W24" s="100">
        <f t="shared" si="15"/>
        <v>0.6</v>
      </c>
      <c r="X24" s="22">
        <f t="shared" si="16"/>
        <v>1</v>
      </c>
      <c r="Y24" s="94">
        <v>87</v>
      </c>
      <c r="Z24" s="94">
        <v>117</v>
      </c>
      <c r="AA24" s="100">
        <f t="shared" si="17"/>
        <v>0.7435897435897436</v>
      </c>
      <c r="AB24" s="22">
        <f t="shared" si="18"/>
        <v>0</v>
      </c>
      <c r="AC24" s="27">
        <v>100000</v>
      </c>
      <c r="AD24" s="27">
        <v>385023782.66</v>
      </c>
      <c r="AE24" s="96">
        <f t="shared" si="1"/>
        <v>0.0002597242157591762</v>
      </c>
      <c r="AF24" s="22">
        <f t="shared" si="39"/>
        <v>0</v>
      </c>
      <c r="AG24" s="23">
        <v>13043645.71</v>
      </c>
      <c r="AH24" s="23">
        <v>449575303.4</v>
      </c>
      <c r="AI24" s="100">
        <f t="shared" si="19"/>
        <v>0.029</v>
      </c>
      <c r="AJ24" s="22">
        <f t="shared" si="20"/>
        <v>0</v>
      </c>
      <c r="AK24" s="35" t="s">
        <v>104</v>
      </c>
      <c r="AL24" s="19">
        <f t="shared" si="21"/>
        <v>0</v>
      </c>
      <c r="AM24" s="44">
        <v>0</v>
      </c>
      <c r="AN24" s="22">
        <f t="shared" si="22"/>
        <v>3</v>
      </c>
      <c r="AO24" s="23">
        <v>5245.05</v>
      </c>
      <c r="AP24" s="41">
        <v>5206.37</v>
      </c>
      <c r="AQ24" s="96">
        <f t="shared" si="23"/>
        <v>1.0074</v>
      </c>
      <c r="AR24" s="22">
        <f t="shared" si="24"/>
        <v>0</v>
      </c>
      <c r="AS24" s="41">
        <v>143967961.12</v>
      </c>
      <c r="AT24" s="41">
        <v>112590167.79</v>
      </c>
      <c r="AU24" s="110">
        <f t="shared" si="25"/>
        <v>1.279</v>
      </c>
      <c r="AV24" s="22">
        <f t="shared" si="2"/>
        <v>1.5</v>
      </c>
      <c r="AW24" s="45">
        <v>0</v>
      </c>
      <c r="AX24" s="30">
        <f t="shared" si="3"/>
        <v>1</v>
      </c>
      <c r="AY24" s="31">
        <v>1</v>
      </c>
      <c r="AZ24" s="46">
        <v>1</v>
      </c>
      <c r="BA24" s="115">
        <f t="shared" si="26"/>
        <v>2</v>
      </c>
      <c r="BB24" s="30">
        <f t="shared" si="4"/>
        <v>2</v>
      </c>
      <c r="BC24" s="44" t="s">
        <v>24</v>
      </c>
      <c r="BD24" s="19">
        <f t="shared" si="27"/>
        <v>1</v>
      </c>
      <c r="BE24" s="19">
        <v>0</v>
      </c>
      <c r="BF24" s="47">
        <v>243827233.06</v>
      </c>
      <c r="BG24" s="113">
        <f t="shared" si="28"/>
        <v>0</v>
      </c>
      <c r="BH24" s="33">
        <f t="shared" si="29"/>
        <v>1</v>
      </c>
      <c r="BI24" s="21">
        <v>38225502.92</v>
      </c>
      <c r="BJ24" s="21">
        <v>47118935.38</v>
      </c>
      <c r="BK24" s="21">
        <v>36252159.99</v>
      </c>
      <c r="BL24" s="21">
        <v>64242903.55</v>
      </c>
      <c r="BM24" s="98">
        <f t="shared" si="5"/>
        <v>1.5849843939742005</v>
      </c>
      <c r="BN24" s="33">
        <f t="shared" si="30"/>
        <v>0</v>
      </c>
      <c r="BO24" s="21">
        <v>5785724.31</v>
      </c>
      <c r="BP24" s="21">
        <v>4533932.3</v>
      </c>
      <c r="BQ24" s="102">
        <f t="shared" si="31"/>
        <v>1.276</v>
      </c>
      <c r="BR24" s="22">
        <f t="shared" si="32"/>
        <v>1</v>
      </c>
      <c r="BS24" s="48" t="s">
        <v>24</v>
      </c>
      <c r="BT24" s="19">
        <f t="shared" si="33"/>
        <v>1</v>
      </c>
      <c r="BU24" s="35" t="s">
        <v>24</v>
      </c>
      <c r="BV24" s="35" t="s">
        <v>24</v>
      </c>
      <c r="BW24" s="36" t="s">
        <v>24</v>
      </c>
      <c r="BX24" s="33">
        <f t="shared" si="37"/>
        <v>1</v>
      </c>
      <c r="BY24" s="49" t="s">
        <v>24</v>
      </c>
      <c r="BZ24" s="50">
        <f t="shared" si="34"/>
        <v>1</v>
      </c>
      <c r="CA24" s="49" t="s">
        <v>187</v>
      </c>
      <c r="CB24" s="50">
        <f t="shared" si="35"/>
        <v>0</v>
      </c>
      <c r="CC24" s="120">
        <f t="shared" si="6"/>
        <v>19</v>
      </c>
      <c r="CD24" s="119">
        <f t="shared" si="38"/>
        <v>19</v>
      </c>
      <c r="CE24" s="131" t="s">
        <v>136</v>
      </c>
      <c r="CF24" s="104">
        <v>17</v>
      </c>
      <c r="CG24" s="104"/>
      <c r="CH24" s="54"/>
      <c r="CJ24" s="126"/>
    </row>
    <row r="25" spans="1:89" s="55" customFormat="1" ht="12.75" customHeight="1">
      <c r="A25" s="18">
        <v>19</v>
      </c>
      <c r="B25" s="37" t="s">
        <v>125</v>
      </c>
      <c r="C25" s="39">
        <v>400323062</v>
      </c>
      <c r="D25" s="40">
        <v>403139366.59</v>
      </c>
      <c r="E25" s="103">
        <f t="shared" si="7"/>
        <v>0.993</v>
      </c>
      <c r="F25" s="22">
        <f t="shared" si="8"/>
        <v>1.5</v>
      </c>
      <c r="G25" s="42">
        <v>7</v>
      </c>
      <c r="H25" s="22">
        <f t="shared" si="40"/>
        <v>0</v>
      </c>
      <c r="I25" s="41">
        <v>147238778.02</v>
      </c>
      <c r="J25" s="24">
        <v>143668288.85</v>
      </c>
      <c r="K25" s="108">
        <f t="shared" si="9"/>
        <v>1.025</v>
      </c>
      <c r="L25" s="22">
        <f t="shared" si="10"/>
        <v>1</v>
      </c>
      <c r="M25" s="39">
        <v>147238778.02</v>
      </c>
      <c r="N25" s="21">
        <v>136968230</v>
      </c>
      <c r="O25" s="26">
        <f t="shared" si="11"/>
        <v>0.07498489262802045</v>
      </c>
      <c r="P25" s="43">
        <f t="shared" si="12"/>
        <v>1</v>
      </c>
      <c r="Q25" s="94">
        <v>0</v>
      </c>
      <c r="R25" s="94">
        <v>8</v>
      </c>
      <c r="S25" s="100">
        <f t="shared" si="13"/>
        <v>0</v>
      </c>
      <c r="T25" s="22">
        <f t="shared" si="14"/>
        <v>0</v>
      </c>
      <c r="U25" s="94">
        <v>2</v>
      </c>
      <c r="V25" s="94">
        <v>9</v>
      </c>
      <c r="W25" s="100">
        <f t="shared" si="15"/>
        <v>0.2222222222222222</v>
      </c>
      <c r="X25" s="22">
        <f t="shared" si="16"/>
        <v>0</v>
      </c>
      <c r="Y25" s="94">
        <v>98</v>
      </c>
      <c r="Z25" s="94">
        <v>117</v>
      </c>
      <c r="AA25" s="100">
        <f t="shared" si="17"/>
        <v>0.8376068376068376</v>
      </c>
      <c r="AB25" s="22">
        <f t="shared" si="18"/>
        <v>1</v>
      </c>
      <c r="AC25" s="27">
        <v>200000</v>
      </c>
      <c r="AD25" s="27">
        <v>337794195.68</v>
      </c>
      <c r="AE25" s="96">
        <f t="shared" si="1"/>
        <v>0.0005920764849064028</v>
      </c>
      <c r="AF25" s="22">
        <f t="shared" si="39"/>
        <v>0</v>
      </c>
      <c r="AG25" s="23">
        <v>13191500.59</v>
      </c>
      <c r="AH25" s="23">
        <v>403139366.59</v>
      </c>
      <c r="AI25" s="100">
        <f t="shared" si="19"/>
        <v>0.033</v>
      </c>
      <c r="AJ25" s="22">
        <f t="shared" si="20"/>
        <v>0</v>
      </c>
      <c r="AK25" s="35" t="s">
        <v>24</v>
      </c>
      <c r="AL25" s="19">
        <f t="shared" si="21"/>
        <v>1</v>
      </c>
      <c r="AM25" s="44">
        <v>0</v>
      </c>
      <c r="AN25" s="22">
        <f t="shared" si="22"/>
        <v>3</v>
      </c>
      <c r="AO25" s="23">
        <v>5736.86</v>
      </c>
      <c r="AP25" s="41">
        <v>7717.6</v>
      </c>
      <c r="AQ25" s="96">
        <f t="shared" si="23"/>
        <v>0.7433</v>
      </c>
      <c r="AR25" s="22">
        <f t="shared" si="24"/>
        <v>1</v>
      </c>
      <c r="AS25" s="41">
        <v>147238778.02</v>
      </c>
      <c r="AT25" s="41">
        <v>135473207.91</v>
      </c>
      <c r="AU25" s="110">
        <f t="shared" si="25"/>
        <v>1.087</v>
      </c>
      <c r="AV25" s="22">
        <f t="shared" si="2"/>
        <v>1.5</v>
      </c>
      <c r="AW25" s="45">
        <v>0</v>
      </c>
      <c r="AX25" s="30">
        <f t="shared" si="3"/>
        <v>1</v>
      </c>
      <c r="AY25" s="31">
        <v>1</v>
      </c>
      <c r="AZ25" s="46">
        <v>1</v>
      </c>
      <c r="BA25" s="115">
        <f t="shared" si="26"/>
        <v>2</v>
      </c>
      <c r="BB25" s="30">
        <f t="shared" si="4"/>
        <v>2</v>
      </c>
      <c r="BC25" s="44" t="s">
        <v>24</v>
      </c>
      <c r="BD25" s="19">
        <f t="shared" si="27"/>
        <v>1</v>
      </c>
      <c r="BE25" s="19">
        <v>0</v>
      </c>
      <c r="BF25" s="47">
        <v>168523018.78</v>
      </c>
      <c r="BG25" s="113">
        <f t="shared" si="28"/>
        <v>0</v>
      </c>
      <c r="BH25" s="33">
        <f t="shared" si="29"/>
        <v>1</v>
      </c>
      <c r="BI25" s="21">
        <v>43610091.19</v>
      </c>
      <c r="BJ25" s="21">
        <v>44236959.5</v>
      </c>
      <c r="BK25" s="21">
        <v>49089993.24</v>
      </c>
      <c r="BL25" s="21">
        <v>70086210.58</v>
      </c>
      <c r="BM25" s="98">
        <f t="shared" si="5"/>
        <v>1.5354401242039428</v>
      </c>
      <c r="BN25" s="33">
        <f t="shared" si="30"/>
        <v>0</v>
      </c>
      <c r="BO25" s="21">
        <v>8384425.89</v>
      </c>
      <c r="BP25" s="21">
        <v>6852119.2</v>
      </c>
      <c r="BQ25" s="102">
        <f t="shared" si="31"/>
        <v>1.224</v>
      </c>
      <c r="BR25" s="22">
        <f t="shared" si="32"/>
        <v>1</v>
      </c>
      <c r="BS25" s="48" t="s">
        <v>24</v>
      </c>
      <c r="BT25" s="19">
        <f t="shared" si="33"/>
        <v>1</v>
      </c>
      <c r="BU25" s="35" t="s">
        <v>24</v>
      </c>
      <c r="BV25" s="35" t="s">
        <v>24</v>
      </c>
      <c r="BW25" s="36" t="s">
        <v>24</v>
      </c>
      <c r="BX25" s="33">
        <f t="shared" si="37"/>
        <v>1</v>
      </c>
      <c r="BY25" s="49" t="s">
        <v>24</v>
      </c>
      <c r="BZ25" s="50">
        <f t="shared" si="34"/>
        <v>1</v>
      </c>
      <c r="CA25" s="49" t="s">
        <v>187</v>
      </c>
      <c r="CB25" s="50">
        <f t="shared" si="35"/>
        <v>0</v>
      </c>
      <c r="CC25" s="120">
        <f t="shared" si="6"/>
        <v>20</v>
      </c>
      <c r="CD25" s="119">
        <v>0</v>
      </c>
      <c r="CE25" s="131" t="s">
        <v>130</v>
      </c>
      <c r="CF25" s="133">
        <v>16.5</v>
      </c>
      <c r="CG25" s="121"/>
      <c r="CH25" s="53"/>
      <c r="CJ25" s="126"/>
      <c r="CK25"/>
    </row>
    <row r="26" spans="1:89" s="55" customFormat="1" ht="12.75" customHeight="1">
      <c r="A26" s="18">
        <v>20</v>
      </c>
      <c r="B26" s="37" t="s">
        <v>126</v>
      </c>
      <c r="C26" s="39">
        <v>347462485.3</v>
      </c>
      <c r="D26" s="40">
        <v>351969946.23</v>
      </c>
      <c r="E26" s="103">
        <f t="shared" si="7"/>
        <v>0.987</v>
      </c>
      <c r="F26" s="22">
        <f t="shared" si="8"/>
        <v>1.5</v>
      </c>
      <c r="G26" s="42">
        <v>4</v>
      </c>
      <c r="H26" s="22">
        <f t="shared" si="40"/>
        <v>1</v>
      </c>
      <c r="I26" s="41">
        <v>94235634.53</v>
      </c>
      <c r="J26" s="24">
        <v>90428087.97</v>
      </c>
      <c r="K26" s="108">
        <f t="shared" si="9"/>
        <v>1.042</v>
      </c>
      <c r="L26" s="22">
        <f t="shared" si="10"/>
        <v>1</v>
      </c>
      <c r="M26" s="39">
        <v>94235634.53</v>
      </c>
      <c r="N26" s="21">
        <v>72060000</v>
      </c>
      <c r="O26" s="26">
        <f t="shared" si="11"/>
        <v>0.3077384752983625</v>
      </c>
      <c r="P26" s="43">
        <f t="shared" si="12"/>
        <v>0</v>
      </c>
      <c r="Q26" s="94">
        <v>6</v>
      </c>
      <c r="R26" s="94">
        <v>7</v>
      </c>
      <c r="S26" s="100">
        <f t="shared" si="13"/>
        <v>0.8571428571428571</v>
      </c>
      <c r="T26" s="22">
        <f t="shared" si="14"/>
        <v>1</v>
      </c>
      <c r="U26" s="94">
        <v>6</v>
      </c>
      <c r="V26" s="94">
        <v>8</v>
      </c>
      <c r="W26" s="100">
        <f t="shared" si="15"/>
        <v>0.75</v>
      </c>
      <c r="X26" s="22">
        <f t="shared" si="16"/>
        <v>1</v>
      </c>
      <c r="Y26" s="94">
        <v>100</v>
      </c>
      <c r="Z26" s="94">
        <v>117</v>
      </c>
      <c r="AA26" s="100">
        <f t="shared" si="17"/>
        <v>0.8547008547008547</v>
      </c>
      <c r="AB26" s="22">
        <f t="shared" si="18"/>
        <v>1</v>
      </c>
      <c r="AC26" s="27">
        <v>30000</v>
      </c>
      <c r="AD26" s="27">
        <v>235838733.36</v>
      </c>
      <c r="AE26" s="96">
        <f t="shared" si="1"/>
        <v>0.00012720556785812613</v>
      </c>
      <c r="AF26" s="22">
        <f t="shared" si="39"/>
        <v>0</v>
      </c>
      <c r="AG26" s="23">
        <v>14380653.73</v>
      </c>
      <c r="AH26" s="23">
        <v>351969946.23</v>
      </c>
      <c r="AI26" s="100">
        <f t="shared" si="19"/>
        <v>0.041</v>
      </c>
      <c r="AJ26" s="22">
        <f t="shared" si="20"/>
        <v>0</v>
      </c>
      <c r="AK26" s="35" t="s">
        <v>104</v>
      </c>
      <c r="AL26" s="19">
        <f t="shared" si="21"/>
        <v>0</v>
      </c>
      <c r="AM26" s="44">
        <v>0</v>
      </c>
      <c r="AN26" s="22">
        <f t="shared" si="22"/>
        <v>3</v>
      </c>
      <c r="AO26" s="23">
        <v>4198.72</v>
      </c>
      <c r="AP26" s="41">
        <v>3486.43</v>
      </c>
      <c r="AQ26" s="96">
        <f t="shared" si="23"/>
        <v>1.2043</v>
      </c>
      <c r="AR26" s="22">
        <f t="shared" si="24"/>
        <v>0</v>
      </c>
      <c r="AS26" s="41">
        <v>94235634.53</v>
      </c>
      <c r="AT26" s="41">
        <v>80367550.31</v>
      </c>
      <c r="AU26" s="110">
        <f t="shared" si="25"/>
        <v>1.173</v>
      </c>
      <c r="AV26" s="22">
        <f t="shared" si="2"/>
        <v>1.5</v>
      </c>
      <c r="AW26" s="45">
        <v>0</v>
      </c>
      <c r="AX26" s="30">
        <f t="shared" si="3"/>
        <v>1</v>
      </c>
      <c r="AY26" s="31">
        <v>1</v>
      </c>
      <c r="AZ26" s="46">
        <v>1</v>
      </c>
      <c r="BA26" s="115">
        <f t="shared" si="26"/>
        <v>2</v>
      </c>
      <c r="BB26" s="30">
        <f t="shared" si="4"/>
        <v>2</v>
      </c>
      <c r="BC26" s="44" t="s">
        <v>24</v>
      </c>
      <c r="BD26" s="19">
        <f t="shared" si="27"/>
        <v>1</v>
      </c>
      <c r="BE26" s="19">
        <v>0</v>
      </c>
      <c r="BF26" s="47">
        <v>177789233.34</v>
      </c>
      <c r="BG26" s="113">
        <f t="shared" si="28"/>
        <v>0</v>
      </c>
      <c r="BH26" s="33">
        <f t="shared" si="29"/>
        <v>1</v>
      </c>
      <c r="BI26" s="21">
        <v>28804044.42</v>
      </c>
      <c r="BJ26" s="21">
        <v>36579656.76</v>
      </c>
      <c r="BK26" s="21">
        <v>32251912.9</v>
      </c>
      <c r="BL26" s="21">
        <v>52212825.62</v>
      </c>
      <c r="BM26" s="98">
        <f t="shared" si="5"/>
        <v>1.60431701419581</v>
      </c>
      <c r="BN26" s="33">
        <f t="shared" si="30"/>
        <v>0</v>
      </c>
      <c r="BO26" s="21">
        <v>4105223.8</v>
      </c>
      <c r="BP26" s="21">
        <v>3457037.6</v>
      </c>
      <c r="BQ26" s="102">
        <f t="shared" si="31"/>
        <v>1.187</v>
      </c>
      <c r="BR26" s="22">
        <f t="shared" si="32"/>
        <v>1</v>
      </c>
      <c r="BS26" s="48" t="s">
        <v>24</v>
      </c>
      <c r="BT26" s="19">
        <f t="shared" si="33"/>
        <v>1</v>
      </c>
      <c r="BU26" s="35" t="s">
        <v>24</v>
      </c>
      <c r="BV26" s="35" t="s">
        <v>24</v>
      </c>
      <c r="BW26" s="36" t="s">
        <v>24</v>
      </c>
      <c r="BX26" s="33">
        <f t="shared" si="37"/>
        <v>1</v>
      </c>
      <c r="BY26" s="49" t="s">
        <v>24</v>
      </c>
      <c r="BZ26" s="50">
        <f t="shared" si="34"/>
        <v>1</v>
      </c>
      <c r="CA26" s="49" t="s">
        <v>187</v>
      </c>
      <c r="CB26" s="50">
        <f t="shared" si="35"/>
        <v>0</v>
      </c>
      <c r="CC26" s="120">
        <f t="shared" si="6"/>
        <v>20</v>
      </c>
      <c r="CD26" s="119">
        <f t="shared" si="38"/>
        <v>20</v>
      </c>
      <c r="CE26" s="131" t="s">
        <v>106</v>
      </c>
      <c r="CF26" s="133">
        <v>0</v>
      </c>
      <c r="CG26" s="121"/>
      <c r="CH26" s="53"/>
      <c r="CJ26" s="126"/>
      <c r="CK26"/>
    </row>
    <row r="27" spans="1:88" ht="12.75" customHeight="1">
      <c r="A27" s="18">
        <v>21</v>
      </c>
      <c r="B27" s="37" t="s">
        <v>127</v>
      </c>
      <c r="C27" s="39">
        <v>482433336.6</v>
      </c>
      <c r="D27" s="40">
        <v>486556942.3</v>
      </c>
      <c r="E27" s="103">
        <f t="shared" si="7"/>
        <v>0.992</v>
      </c>
      <c r="F27" s="22">
        <f t="shared" si="8"/>
        <v>1.5</v>
      </c>
      <c r="G27" s="42">
        <v>5</v>
      </c>
      <c r="H27" s="22">
        <f t="shared" si="40"/>
        <v>0</v>
      </c>
      <c r="I27" s="41">
        <v>133596712.66</v>
      </c>
      <c r="J27" s="24">
        <v>128139595</v>
      </c>
      <c r="K27" s="108">
        <f t="shared" si="9"/>
        <v>1.043</v>
      </c>
      <c r="L27" s="22">
        <f t="shared" si="10"/>
        <v>1</v>
      </c>
      <c r="M27" s="39">
        <v>133596712.66</v>
      </c>
      <c r="N27" s="21">
        <v>119128660</v>
      </c>
      <c r="O27" s="26">
        <f t="shared" si="11"/>
        <v>0.12144896668862049</v>
      </c>
      <c r="P27" s="43">
        <f t="shared" si="12"/>
        <v>0</v>
      </c>
      <c r="Q27" s="94">
        <v>4</v>
      </c>
      <c r="R27" s="94">
        <v>4</v>
      </c>
      <c r="S27" s="100">
        <f t="shared" si="13"/>
        <v>1</v>
      </c>
      <c r="T27" s="22">
        <f t="shared" si="14"/>
        <v>1</v>
      </c>
      <c r="U27" s="94">
        <v>2</v>
      </c>
      <c r="V27" s="94">
        <v>5</v>
      </c>
      <c r="W27" s="100">
        <f t="shared" si="15"/>
        <v>0.4</v>
      </c>
      <c r="X27" s="22">
        <f t="shared" si="16"/>
        <v>0</v>
      </c>
      <c r="Y27" s="94">
        <v>100</v>
      </c>
      <c r="Z27" s="94">
        <v>117</v>
      </c>
      <c r="AA27" s="100">
        <f t="shared" si="17"/>
        <v>0.8547008547008547</v>
      </c>
      <c r="AB27" s="22">
        <f t="shared" si="18"/>
        <v>1</v>
      </c>
      <c r="AC27" s="27">
        <v>200000</v>
      </c>
      <c r="AD27" s="27">
        <v>327145931.74</v>
      </c>
      <c r="AE27" s="96">
        <f t="shared" si="1"/>
        <v>0.0006113479661393144</v>
      </c>
      <c r="AF27" s="22">
        <f t="shared" si="39"/>
        <v>0</v>
      </c>
      <c r="AG27" s="23">
        <v>38196415.47</v>
      </c>
      <c r="AH27" s="23">
        <v>486556942.3</v>
      </c>
      <c r="AI27" s="100">
        <f t="shared" si="19"/>
        <v>0.079</v>
      </c>
      <c r="AJ27" s="22">
        <f t="shared" si="20"/>
        <v>0</v>
      </c>
      <c r="AK27" s="35" t="s">
        <v>104</v>
      </c>
      <c r="AL27" s="19">
        <f t="shared" si="21"/>
        <v>0</v>
      </c>
      <c r="AM27" s="44">
        <v>0</v>
      </c>
      <c r="AN27" s="22">
        <f t="shared" si="22"/>
        <v>3</v>
      </c>
      <c r="AO27" s="23">
        <v>5520.07</v>
      </c>
      <c r="AP27" s="41">
        <v>5961.88</v>
      </c>
      <c r="AQ27" s="96">
        <f t="shared" si="23"/>
        <v>0.9259</v>
      </c>
      <c r="AR27" s="22">
        <f t="shared" si="24"/>
        <v>1</v>
      </c>
      <c r="AS27" s="41">
        <v>133596712.66</v>
      </c>
      <c r="AT27" s="41">
        <v>116353765.59</v>
      </c>
      <c r="AU27" s="110">
        <f t="shared" si="25"/>
        <v>1.148</v>
      </c>
      <c r="AV27" s="22">
        <f t="shared" si="2"/>
        <v>1.5</v>
      </c>
      <c r="AW27" s="45">
        <v>0</v>
      </c>
      <c r="AX27" s="30">
        <f t="shared" si="3"/>
        <v>1</v>
      </c>
      <c r="AY27" s="31">
        <v>1</v>
      </c>
      <c r="AZ27" s="46">
        <v>1</v>
      </c>
      <c r="BA27" s="115">
        <f t="shared" si="26"/>
        <v>2</v>
      </c>
      <c r="BB27" s="30">
        <f t="shared" si="4"/>
        <v>2</v>
      </c>
      <c r="BC27" s="44" t="s">
        <v>24</v>
      </c>
      <c r="BD27" s="19">
        <f t="shared" si="27"/>
        <v>1</v>
      </c>
      <c r="BE27" s="19">
        <v>0</v>
      </c>
      <c r="BF27" s="47">
        <v>205045009.65</v>
      </c>
      <c r="BG27" s="113">
        <f t="shared" si="28"/>
        <v>0</v>
      </c>
      <c r="BH27" s="33">
        <f t="shared" si="29"/>
        <v>1</v>
      </c>
      <c r="BI27" s="21">
        <v>37406827.69</v>
      </c>
      <c r="BJ27" s="21">
        <v>44774994.89</v>
      </c>
      <c r="BK27" s="21">
        <v>36858335.36</v>
      </c>
      <c r="BL27" s="21">
        <v>78550228.61</v>
      </c>
      <c r="BM27" s="98">
        <f t="shared" si="5"/>
        <v>1.979589828407111</v>
      </c>
      <c r="BN27" s="33">
        <f t="shared" si="30"/>
        <v>0</v>
      </c>
      <c r="BO27" s="21">
        <v>3669082.75</v>
      </c>
      <c r="BP27" s="21">
        <v>2638173.3</v>
      </c>
      <c r="BQ27" s="102">
        <f t="shared" si="31"/>
        <v>1.391</v>
      </c>
      <c r="BR27" s="22">
        <f t="shared" si="32"/>
        <v>1</v>
      </c>
      <c r="BS27" s="48" t="s">
        <v>24</v>
      </c>
      <c r="BT27" s="19">
        <f t="shared" si="33"/>
        <v>1</v>
      </c>
      <c r="BU27" s="35" t="s">
        <v>24</v>
      </c>
      <c r="BV27" s="35" t="s">
        <v>24</v>
      </c>
      <c r="BW27" s="36" t="s">
        <v>24</v>
      </c>
      <c r="BX27" s="33">
        <f t="shared" si="37"/>
        <v>1</v>
      </c>
      <c r="BY27" s="49" t="s">
        <v>24</v>
      </c>
      <c r="BZ27" s="50">
        <f t="shared" si="34"/>
        <v>1</v>
      </c>
      <c r="CA27" s="49" t="s">
        <v>24</v>
      </c>
      <c r="CB27" s="50">
        <f t="shared" si="35"/>
        <v>1</v>
      </c>
      <c r="CC27" s="120">
        <f t="shared" si="6"/>
        <v>20</v>
      </c>
      <c r="CD27" s="119">
        <f t="shared" si="38"/>
        <v>20</v>
      </c>
      <c r="CE27" s="131" t="s">
        <v>107</v>
      </c>
      <c r="CF27" s="133">
        <v>0</v>
      </c>
      <c r="CG27" s="121"/>
      <c r="CH27" s="54"/>
      <c r="CJ27" s="126"/>
    </row>
    <row r="28" spans="1:88" ht="12.75" customHeight="1">
      <c r="A28" s="18">
        <v>22</v>
      </c>
      <c r="B28" s="37" t="s">
        <v>128</v>
      </c>
      <c r="C28" s="39">
        <v>969966265.9</v>
      </c>
      <c r="D28" s="40">
        <v>979141487.91</v>
      </c>
      <c r="E28" s="103">
        <f t="shared" si="7"/>
        <v>0.991</v>
      </c>
      <c r="F28" s="22">
        <f t="shared" si="8"/>
        <v>1.5</v>
      </c>
      <c r="G28" s="42">
        <v>3</v>
      </c>
      <c r="H28" s="22">
        <f t="shared" si="40"/>
        <v>1</v>
      </c>
      <c r="I28" s="41">
        <v>211177101.19</v>
      </c>
      <c r="J28" s="24">
        <v>202479868.3</v>
      </c>
      <c r="K28" s="108">
        <f t="shared" si="9"/>
        <v>1.043</v>
      </c>
      <c r="L28" s="22">
        <f t="shared" si="10"/>
        <v>1</v>
      </c>
      <c r="M28" s="39">
        <v>211177101.19</v>
      </c>
      <c r="N28" s="21">
        <v>158021500</v>
      </c>
      <c r="O28" s="26">
        <f t="shared" si="11"/>
        <v>0.3363820821217366</v>
      </c>
      <c r="P28" s="43">
        <f t="shared" si="12"/>
        <v>0</v>
      </c>
      <c r="Q28" s="94">
        <v>6</v>
      </c>
      <c r="R28" s="94">
        <v>6</v>
      </c>
      <c r="S28" s="100">
        <f t="shared" si="13"/>
        <v>1</v>
      </c>
      <c r="T28" s="22">
        <f t="shared" si="14"/>
        <v>1</v>
      </c>
      <c r="U28" s="94">
        <v>4</v>
      </c>
      <c r="V28" s="94">
        <v>7</v>
      </c>
      <c r="W28" s="100">
        <f t="shared" si="15"/>
        <v>0.5714285714285714</v>
      </c>
      <c r="X28" s="22">
        <f t="shared" si="16"/>
        <v>1</v>
      </c>
      <c r="Y28" s="94">
        <v>109</v>
      </c>
      <c r="Z28" s="94">
        <v>117</v>
      </c>
      <c r="AA28" s="100">
        <f t="shared" si="17"/>
        <v>0.9316239316239316</v>
      </c>
      <c r="AB28" s="22">
        <f t="shared" si="18"/>
        <v>2</v>
      </c>
      <c r="AC28" s="27">
        <v>300000</v>
      </c>
      <c r="AD28" s="27">
        <v>477135097.15</v>
      </c>
      <c r="AE28" s="96">
        <f t="shared" si="1"/>
        <v>0.0006287527406639028</v>
      </c>
      <c r="AF28" s="22">
        <f t="shared" si="39"/>
        <v>0</v>
      </c>
      <c r="AG28" s="23">
        <v>121756851.08</v>
      </c>
      <c r="AH28" s="23">
        <v>979141487.91</v>
      </c>
      <c r="AI28" s="100">
        <f t="shared" si="19"/>
        <v>0.124</v>
      </c>
      <c r="AJ28" s="22">
        <f t="shared" si="20"/>
        <v>0</v>
      </c>
      <c r="AK28" s="35" t="s">
        <v>24</v>
      </c>
      <c r="AL28" s="19">
        <f t="shared" si="21"/>
        <v>1</v>
      </c>
      <c r="AM28" s="44">
        <v>0</v>
      </c>
      <c r="AN28" s="22">
        <f t="shared" si="22"/>
        <v>3</v>
      </c>
      <c r="AO28" s="23">
        <v>16615.78</v>
      </c>
      <c r="AP28" s="41">
        <v>20769.55</v>
      </c>
      <c r="AQ28" s="96">
        <f t="shared" si="23"/>
        <v>0.8</v>
      </c>
      <c r="AR28" s="22">
        <f t="shared" si="24"/>
        <v>1</v>
      </c>
      <c r="AS28" s="41">
        <v>211177101.19</v>
      </c>
      <c r="AT28" s="41">
        <v>175389347.95</v>
      </c>
      <c r="AU28" s="110">
        <f t="shared" si="25"/>
        <v>1.204</v>
      </c>
      <c r="AV28" s="22">
        <f t="shared" si="2"/>
        <v>1.5</v>
      </c>
      <c r="AW28" s="45">
        <v>0</v>
      </c>
      <c r="AX28" s="30">
        <f t="shared" si="3"/>
        <v>1</v>
      </c>
      <c r="AY28" s="31">
        <v>1</v>
      </c>
      <c r="AZ28" s="46">
        <v>1</v>
      </c>
      <c r="BA28" s="115">
        <f t="shared" si="26"/>
        <v>2</v>
      </c>
      <c r="BB28" s="30">
        <f t="shared" si="4"/>
        <v>2</v>
      </c>
      <c r="BC28" s="44" t="s">
        <v>24</v>
      </c>
      <c r="BD28" s="19">
        <f t="shared" si="27"/>
        <v>1</v>
      </c>
      <c r="BE28" s="19">
        <v>0</v>
      </c>
      <c r="BF28" s="47">
        <v>386683213.19</v>
      </c>
      <c r="BG28" s="113">
        <f t="shared" si="28"/>
        <v>0</v>
      </c>
      <c r="BH28" s="33">
        <f t="shared" si="29"/>
        <v>1</v>
      </c>
      <c r="BI28" s="21">
        <v>44996485.36</v>
      </c>
      <c r="BJ28" s="21">
        <v>57104715.5</v>
      </c>
      <c r="BK28" s="21">
        <v>55002787.07</v>
      </c>
      <c r="BL28" s="21">
        <v>111742250.87</v>
      </c>
      <c r="BM28" s="98">
        <f t="shared" si="5"/>
        <v>2.1337889446788916</v>
      </c>
      <c r="BN28" s="33">
        <f t="shared" si="30"/>
        <v>0</v>
      </c>
      <c r="BO28" s="21">
        <v>10360953.42</v>
      </c>
      <c r="BP28" s="21">
        <v>9291102.9</v>
      </c>
      <c r="BQ28" s="102">
        <f t="shared" si="31"/>
        <v>1.115</v>
      </c>
      <c r="BR28" s="22">
        <f t="shared" si="32"/>
        <v>1</v>
      </c>
      <c r="BS28" s="48" t="s">
        <v>24</v>
      </c>
      <c r="BT28" s="19">
        <f t="shared" si="33"/>
        <v>1</v>
      </c>
      <c r="BU28" s="35" t="s">
        <v>24</v>
      </c>
      <c r="BV28" s="35" t="s">
        <v>104</v>
      </c>
      <c r="BW28" s="36" t="s">
        <v>24</v>
      </c>
      <c r="BX28" s="33">
        <f t="shared" si="37"/>
        <v>0</v>
      </c>
      <c r="BY28" s="49" t="s">
        <v>24</v>
      </c>
      <c r="BZ28" s="50">
        <f t="shared" si="34"/>
        <v>1</v>
      </c>
      <c r="CA28" s="49" t="s">
        <v>24</v>
      </c>
      <c r="CB28" s="50">
        <f t="shared" si="35"/>
        <v>1</v>
      </c>
      <c r="CC28" s="120">
        <f t="shared" si="6"/>
        <v>23</v>
      </c>
      <c r="CD28" s="119">
        <f t="shared" si="38"/>
        <v>23</v>
      </c>
      <c r="CE28" s="131" t="s">
        <v>109</v>
      </c>
      <c r="CF28" s="133">
        <v>0</v>
      </c>
      <c r="CG28" s="121"/>
      <c r="CH28" s="54"/>
      <c r="CJ28" s="126"/>
    </row>
    <row r="29" spans="1:88" ht="12.75" customHeight="1">
      <c r="A29" s="18">
        <v>23</v>
      </c>
      <c r="B29" s="37" t="s">
        <v>129</v>
      </c>
      <c r="C29" s="39">
        <v>823784108.6</v>
      </c>
      <c r="D29" s="40">
        <v>827173294.02</v>
      </c>
      <c r="E29" s="103">
        <f t="shared" si="7"/>
        <v>0.996</v>
      </c>
      <c r="F29" s="22">
        <f t="shared" si="8"/>
        <v>1.5</v>
      </c>
      <c r="G29" s="42">
        <v>7</v>
      </c>
      <c r="H29" s="22">
        <f t="shared" si="40"/>
        <v>0</v>
      </c>
      <c r="I29" s="41">
        <v>272141918.32</v>
      </c>
      <c r="J29" s="24">
        <v>263682888.02</v>
      </c>
      <c r="K29" s="108">
        <f t="shared" si="9"/>
        <v>1.032</v>
      </c>
      <c r="L29" s="22">
        <f t="shared" si="10"/>
        <v>1</v>
      </c>
      <c r="M29" s="39">
        <v>272141918.32</v>
      </c>
      <c r="N29" s="21">
        <v>238508699.71</v>
      </c>
      <c r="O29" s="26">
        <f t="shared" si="11"/>
        <v>0.14101464076947395</v>
      </c>
      <c r="P29" s="43">
        <f t="shared" si="12"/>
        <v>0</v>
      </c>
      <c r="Q29" s="94">
        <v>0</v>
      </c>
      <c r="R29" s="94">
        <v>13</v>
      </c>
      <c r="S29" s="100">
        <f t="shared" si="13"/>
        <v>0</v>
      </c>
      <c r="T29" s="22">
        <f t="shared" si="14"/>
        <v>0</v>
      </c>
      <c r="U29" s="94">
        <v>10</v>
      </c>
      <c r="V29" s="94">
        <v>14</v>
      </c>
      <c r="W29" s="100">
        <f t="shared" si="15"/>
        <v>0.7142857142857143</v>
      </c>
      <c r="X29" s="22">
        <f t="shared" si="16"/>
        <v>1</v>
      </c>
      <c r="Y29" s="94">
        <v>97</v>
      </c>
      <c r="Z29" s="94">
        <v>117</v>
      </c>
      <c r="AA29" s="100">
        <f t="shared" si="17"/>
        <v>0.8290598290598291</v>
      </c>
      <c r="AB29" s="22">
        <f t="shared" si="18"/>
        <v>1</v>
      </c>
      <c r="AC29" s="27">
        <v>200000</v>
      </c>
      <c r="AD29" s="27">
        <v>541670403.45</v>
      </c>
      <c r="AE29" s="96">
        <f t="shared" si="1"/>
        <v>0.00036922822204455444</v>
      </c>
      <c r="AF29" s="22">
        <f t="shared" si="39"/>
        <v>0</v>
      </c>
      <c r="AG29" s="23">
        <v>27321170.7</v>
      </c>
      <c r="AH29" s="23">
        <v>827173294.02</v>
      </c>
      <c r="AI29" s="100">
        <f t="shared" si="19"/>
        <v>0.033</v>
      </c>
      <c r="AJ29" s="22">
        <f t="shared" si="20"/>
        <v>0</v>
      </c>
      <c r="AK29" s="35" t="s">
        <v>24</v>
      </c>
      <c r="AL29" s="19">
        <f t="shared" si="21"/>
        <v>1</v>
      </c>
      <c r="AM29" s="44">
        <v>0</v>
      </c>
      <c r="AN29" s="22">
        <f t="shared" si="22"/>
        <v>3</v>
      </c>
      <c r="AO29" s="23">
        <v>14707.97</v>
      </c>
      <c r="AP29" s="41">
        <v>15267.76</v>
      </c>
      <c r="AQ29" s="96">
        <f t="shared" si="23"/>
        <v>0.9633</v>
      </c>
      <c r="AR29" s="22">
        <f t="shared" si="24"/>
        <v>1</v>
      </c>
      <c r="AS29" s="41">
        <v>272141918.32</v>
      </c>
      <c r="AT29" s="41">
        <v>246645605.03</v>
      </c>
      <c r="AU29" s="110">
        <f t="shared" si="25"/>
        <v>1.103</v>
      </c>
      <c r="AV29" s="22">
        <f t="shared" si="2"/>
        <v>1.5</v>
      </c>
      <c r="AW29" s="45">
        <v>0</v>
      </c>
      <c r="AX29" s="30">
        <f t="shared" si="3"/>
        <v>1</v>
      </c>
      <c r="AY29" s="31">
        <v>1</v>
      </c>
      <c r="AZ29" s="46">
        <v>1</v>
      </c>
      <c r="BA29" s="115">
        <f t="shared" si="26"/>
        <v>2</v>
      </c>
      <c r="BB29" s="30">
        <f t="shared" si="4"/>
        <v>2</v>
      </c>
      <c r="BC29" s="44" t="s">
        <v>24</v>
      </c>
      <c r="BD29" s="19">
        <f t="shared" si="27"/>
        <v>1</v>
      </c>
      <c r="BE29" s="19">
        <v>0</v>
      </c>
      <c r="BF29" s="47">
        <v>365543510.08</v>
      </c>
      <c r="BG29" s="113">
        <f t="shared" si="28"/>
        <v>0</v>
      </c>
      <c r="BH29" s="33">
        <f t="shared" si="29"/>
        <v>1</v>
      </c>
      <c r="BI29" s="21">
        <v>71293286.11</v>
      </c>
      <c r="BJ29" s="21">
        <v>80221547.38</v>
      </c>
      <c r="BK29" s="21">
        <v>75496865.07</v>
      </c>
      <c r="BL29" s="21">
        <v>121867786.4</v>
      </c>
      <c r="BM29" s="98">
        <f t="shared" si="5"/>
        <v>1.610504487297908</v>
      </c>
      <c r="BN29" s="33">
        <f t="shared" si="30"/>
        <v>0</v>
      </c>
      <c r="BO29" s="21">
        <v>10611870.6</v>
      </c>
      <c r="BP29" s="21">
        <v>9734034.2</v>
      </c>
      <c r="BQ29" s="102">
        <f t="shared" si="31"/>
        <v>1.09</v>
      </c>
      <c r="BR29" s="22">
        <f t="shared" si="32"/>
        <v>1</v>
      </c>
      <c r="BS29" s="48" t="s">
        <v>24</v>
      </c>
      <c r="BT29" s="19">
        <f t="shared" si="33"/>
        <v>1</v>
      </c>
      <c r="BU29" s="35" t="s">
        <v>24</v>
      </c>
      <c r="BV29" s="35" t="s">
        <v>24</v>
      </c>
      <c r="BW29" s="36" t="s">
        <v>24</v>
      </c>
      <c r="BX29" s="33">
        <f t="shared" si="37"/>
        <v>1</v>
      </c>
      <c r="BY29" s="49" t="s">
        <v>24</v>
      </c>
      <c r="BZ29" s="50">
        <f t="shared" si="34"/>
        <v>1</v>
      </c>
      <c r="CA29" s="49" t="s">
        <v>24</v>
      </c>
      <c r="CB29" s="50">
        <f t="shared" si="35"/>
        <v>1</v>
      </c>
      <c r="CC29" s="120">
        <f t="shared" si="6"/>
        <v>21</v>
      </c>
      <c r="CD29" s="119">
        <f t="shared" si="38"/>
        <v>21</v>
      </c>
      <c r="CE29" s="131" t="s">
        <v>111</v>
      </c>
      <c r="CF29" s="133">
        <v>0</v>
      </c>
      <c r="CG29" s="121"/>
      <c r="CH29" s="54"/>
      <c r="CJ29" s="126"/>
    </row>
    <row r="30" spans="1:88" ht="12.75" customHeight="1">
      <c r="A30" s="18">
        <v>24</v>
      </c>
      <c r="B30" s="37" t="s">
        <v>130</v>
      </c>
      <c r="C30" s="39">
        <v>1121133938.3</v>
      </c>
      <c r="D30" s="40">
        <v>1274369223.72</v>
      </c>
      <c r="E30" s="103">
        <f t="shared" si="7"/>
        <v>0.88</v>
      </c>
      <c r="F30" s="22">
        <f t="shared" si="8"/>
        <v>0</v>
      </c>
      <c r="G30" s="42">
        <v>7</v>
      </c>
      <c r="H30" s="22">
        <f t="shared" si="40"/>
        <v>0</v>
      </c>
      <c r="I30" s="41">
        <v>310190310.21</v>
      </c>
      <c r="J30" s="24">
        <v>302670833.3</v>
      </c>
      <c r="K30" s="108">
        <f t="shared" si="9"/>
        <v>1.025</v>
      </c>
      <c r="L30" s="22">
        <f t="shared" si="10"/>
        <v>1</v>
      </c>
      <c r="M30" s="39">
        <v>310190310.21</v>
      </c>
      <c r="N30" s="21">
        <v>261111000</v>
      </c>
      <c r="O30" s="26">
        <f t="shared" si="11"/>
        <v>0.18796339568229595</v>
      </c>
      <c r="P30" s="43">
        <f t="shared" si="12"/>
        <v>0</v>
      </c>
      <c r="Q30" s="94">
        <v>15</v>
      </c>
      <c r="R30" s="94">
        <v>16</v>
      </c>
      <c r="S30" s="100">
        <f t="shared" si="13"/>
        <v>0.9375</v>
      </c>
      <c r="T30" s="22">
        <f t="shared" si="14"/>
        <v>1</v>
      </c>
      <c r="U30" s="94">
        <v>7</v>
      </c>
      <c r="V30" s="94">
        <v>17</v>
      </c>
      <c r="W30" s="100">
        <f t="shared" si="15"/>
        <v>0.4117647058823529</v>
      </c>
      <c r="X30" s="22">
        <f t="shared" si="16"/>
        <v>0</v>
      </c>
      <c r="Y30" s="94">
        <v>95</v>
      </c>
      <c r="Z30" s="94">
        <v>117</v>
      </c>
      <c r="AA30" s="100">
        <f t="shared" si="17"/>
        <v>0.811965811965812</v>
      </c>
      <c r="AB30" s="22">
        <f t="shared" si="18"/>
        <v>1</v>
      </c>
      <c r="AC30" s="27">
        <v>50000</v>
      </c>
      <c r="AD30" s="27">
        <v>909850504.7</v>
      </c>
      <c r="AE30" s="96">
        <f t="shared" si="1"/>
        <v>5.4954082831977133E-05</v>
      </c>
      <c r="AF30" s="22">
        <f t="shared" si="39"/>
        <v>0</v>
      </c>
      <c r="AG30" s="23">
        <v>95581991.72</v>
      </c>
      <c r="AH30" s="23">
        <v>1274369223.72</v>
      </c>
      <c r="AI30" s="100">
        <f t="shared" si="19"/>
        <v>0.075</v>
      </c>
      <c r="AJ30" s="22">
        <f t="shared" si="20"/>
        <v>0</v>
      </c>
      <c r="AK30" s="35" t="s">
        <v>104</v>
      </c>
      <c r="AL30" s="19">
        <f t="shared" si="21"/>
        <v>0</v>
      </c>
      <c r="AM30" s="44">
        <v>0</v>
      </c>
      <c r="AN30" s="22">
        <f t="shared" si="22"/>
        <v>3</v>
      </c>
      <c r="AO30" s="23">
        <v>15980.47</v>
      </c>
      <c r="AP30" s="41">
        <v>15819.57</v>
      </c>
      <c r="AQ30" s="96">
        <f t="shared" si="23"/>
        <v>1.0102</v>
      </c>
      <c r="AR30" s="22">
        <f t="shared" si="24"/>
        <v>0</v>
      </c>
      <c r="AS30" s="41">
        <v>310190310.21</v>
      </c>
      <c r="AT30" s="41">
        <v>276871900.39</v>
      </c>
      <c r="AU30" s="110">
        <f t="shared" si="25"/>
        <v>1.12</v>
      </c>
      <c r="AV30" s="22">
        <f t="shared" si="2"/>
        <v>1.5</v>
      </c>
      <c r="AW30" s="45">
        <v>0</v>
      </c>
      <c r="AX30" s="30">
        <f t="shared" si="3"/>
        <v>1</v>
      </c>
      <c r="AY30" s="31">
        <v>1</v>
      </c>
      <c r="AZ30" s="46">
        <v>1</v>
      </c>
      <c r="BA30" s="115">
        <f t="shared" si="26"/>
        <v>2</v>
      </c>
      <c r="BB30" s="30">
        <f t="shared" si="4"/>
        <v>2</v>
      </c>
      <c r="BC30" s="44" t="s">
        <v>24</v>
      </c>
      <c r="BD30" s="19">
        <f t="shared" si="27"/>
        <v>1</v>
      </c>
      <c r="BE30" s="19">
        <v>0</v>
      </c>
      <c r="BF30" s="47">
        <v>708129460.98</v>
      </c>
      <c r="BG30" s="113">
        <f t="shared" si="28"/>
        <v>0</v>
      </c>
      <c r="BH30" s="33">
        <f t="shared" si="29"/>
        <v>1</v>
      </c>
      <c r="BI30" s="21">
        <v>83128691.18</v>
      </c>
      <c r="BJ30" s="21">
        <v>119228471.28</v>
      </c>
      <c r="BK30" s="21">
        <v>92724360.13</v>
      </c>
      <c r="BL30" s="21">
        <v>152872136.16</v>
      </c>
      <c r="BM30" s="98">
        <f t="shared" si="5"/>
        <v>1.5542023927984907</v>
      </c>
      <c r="BN30" s="33">
        <f t="shared" si="30"/>
        <v>0</v>
      </c>
      <c r="BO30" s="21">
        <v>22485165.73</v>
      </c>
      <c r="BP30" s="21">
        <v>17839710.7</v>
      </c>
      <c r="BQ30" s="102">
        <f t="shared" si="31"/>
        <v>1.26</v>
      </c>
      <c r="BR30" s="22">
        <f t="shared" si="32"/>
        <v>1</v>
      </c>
      <c r="BS30" s="48" t="s">
        <v>24</v>
      </c>
      <c r="BT30" s="19">
        <f t="shared" si="33"/>
        <v>1</v>
      </c>
      <c r="BU30" s="35" t="s">
        <v>24</v>
      </c>
      <c r="BV30" s="35" t="s">
        <v>24</v>
      </c>
      <c r="BW30" s="36" t="s">
        <v>104</v>
      </c>
      <c r="BX30" s="33">
        <f t="shared" si="37"/>
        <v>0</v>
      </c>
      <c r="BY30" s="49" t="s">
        <v>24</v>
      </c>
      <c r="BZ30" s="50">
        <f t="shared" si="34"/>
        <v>1</v>
      </c>
      <c r="CA30" s="49" t="s">
        <v>24</v>
      </c>
      <c r="CB30" s="50">
        <f t="shared" si="35"/>
        <v>1</v>
      </c>
      <c r="CC30" s="120">
        <f t="shared" si="6"/>
        <v>16.5</v>
      </c>
      <c r="CD30" s="119">
        <f t="shared" si="38"/>
        <v>16.5</v>
      </c>
      <c r="CE30" s="131" t="s">
        <v>114</v>
      </c>
      <c r="CF30" s="104">
        <v>0</v>
      </c>
      <c r="CG30" s="104"/>
      <c r="CH30" s="54"/>
      <c r="CJ30" s="126"/>
    </row>
    <row r="31" spans="1:88" ht="12.75" customHeight="1">
      <c r="A31" s="18">
        <v>25</v>
      </c>
      <c r="B31" s="37" t="s">
        <v>131</v>
      </c>
      <c r="C31" s="39">
        <v>252658695.8</v>
      </c>
      <c r="D31" s="40">
        <v>254056728.62</v>
      </c>
      <c r="E31" s="103">
        <f t="shared" si="7"/>
        <v>0.994</v>
      </c>
      <c r="F31" s="22">
        <f t="shared" si="8"/>
        <v>1.5</v>
      </c>
      <c r="G31" s="42">
        <v>5</v>
      </c>
      <c r="H31" s="22">
        <f t="shared" si="40"/>
        <v>0</v>
      </c>
      <c r="I31" s="41">
        <v>56993195.85</v>
      </c>
      <c r="J31" s="24">
        <v>56312379.6</v>
      </c>
      <c r="K31" s="108">
        <f t="shared" si="9"/>
        <v>1.012</v>
      </c>
      <c r="L31" s="22">
        <f t="shared" si="10"/>
        <v>1</v>
      </c>
      <c r="M31" s="39">
        <v>56993195.85</v>
      </c>
      <c r="N31" s="21">
        <v>64475738.6</v>
      </c>
      <c r="O31" s="26">
        <f t="shared" si="11"/>
        <v>0.11605206721897095</v>
      </c>
      <c r="P31" s="43">
        <f t="shared" si="12"/>
        <v>0</v>
      </c>
      <c r="Q31" s="94">
        <v>6</v>
      </c>
      <c r="R31" s="94">
        <v>6</v>
      </c>
      <c r="S31" s="100">
        <f t="shared" si="13"/>
        <v>1</v>
      </c>
      <c r="T31" s="22">
        <f t="shared" si="14"/>
        <v>1</v>
      </c>
      <c r="U31" s="94">
        <v>2</v>
      </c>
      <c r="V31" s="94">
        <v>7</v>
      </c>
      <c r="W31" s="100">
        <f t="shared" si="15"/>
        <v>0.2857142857142857</v>
      </c>
      <c r="X31" s="22">
        <f t="shared" si="16"/>
        <v>0</v>
      </c>
      <c r="Y31" s="94">
        <v>88</v>
      </c>
      <c r="Z31" s="94">
        <v>117</v>
      </c>
      <c r="AA31" s="100">
        <f t="shared" si="17"/>
        <v>0.7521367521367521</v>
      </c>
      <c r="AB31" s="22">
        <f t="shared" si="18"/>
        <v>0</v>
      </c>
      <c r="AC31" s="27">
        <v>150000</v>
      </c>
      <c r="AD31" s="27">
        <v>180522451.64</v>
      </c>
      <c r="AE31" s="96">
        <f t="shared" si="1"/>
        <v>0.0008309215758886976</v>
      </c>
      <c r="AF31" s="22">
        <f t="shared" si="39"/>
        <v>0</v>
      </c>
      <c r="AG31" s="23">
        <v>14632212.32</v>
      </c>
      <c r="AH31" s="23">
        <v>254056728.62</v>
      </c>
      <c r="AI31" s="100">
        <f t="shared" si="19"/>
        <v>0.058</v>
      </c>
      <c r="AJ31" s="22">
        <f t="shared" si="20"/>
        <v>0</v>
      </c>
      <c r="AK31" s="35" t="s">
        <v>24</v>
      </c>
      <c r="AL31" s="19">
        <f t="shared" si="21"/>
        <v>1</v>
      </c>
      <c r="AM31" s="44">
        <v>0</v>
      </c>
      <c r="AN31" s="22">
        <f t="shared" si="22"/>
        <v>3</v>
      </c>
      <c r="AO31" s="23">
        <v>2062.04</v>
      </c>
      <c r="AP31" s="41">
        <v>7962.23</v>
      </c>
      <c r="AQ31" s="96">
        <f t="shared" si="23"/>
        <v>0.259</v>
      </c>
      <c r="AR31" s="22">
        <f t="shared" si="24"/>
        <v>1</v>
      </c>
      <c r="AS31" s="41">
        <v>56993195.85</v>
      </c>
      <c r="AT31" s="41">
        <v>64768425.67</v>
      </c>
      <c r="AU31" s="110">
        <f t="shared" si="25"/>
        <v>0.88</v>
      </c>
      <c r="AV31" s="22">
        <f t="shared" si="2"/>
        <v>0</v>
      </c>
      <c r="AW31" s="45">
        <v>0</v>
      </c>
      <c r="AX31" s="30">
        <f t="shared" si="3"/>
        <v>1</v>
      </c>
      <c r="AY31" s="31">
        <v>1</v>
      </c>
      <c r="AZ31" s="46">
        <v>1</v>
      </c>
      <c r="BA31" s="115">
        <f t="shared" si="26"/>
        <v>2</v>
      </c>
      <c r="BB31" s="30">
        <f t="shared" si="4"/>
        <v>2</v>
      </c>
      <c r="BC31" s="44" t="s">
        <v>24</v>
      </c>
      <c r="BD31" s="19">
        <f t="shared" si="27"/>
        <v>1</v>
      </c>
      <c r="BE31" s="19">
        <v>0</v>
      </c>
      <c r="BF31" s="47">
        <v>124992580.21</v>
      </c>
      <c r="BG31" s="113">
        <f t="shared" si="28"/>
        <v>0</v>
      </c>
      <c r="BH31" s="33">
        <f t="shared" si="29"/>
        <v>1</v>
      </c>
      <c r="BI31" s="21">
        <v>24246341.79</v>
      </c>
      <c r="BJ31" s="21">
        <v>25697577.93</v>
      </c>
      <c r="BK31" s="21">
        <v>20137070.7</v>
      </c>
      <c r="BL31" s="21">
        <v>30451115.05</v>
      </c>
      <c r="BM31" s="98">
        <f t="shared" si="5"/>
        <v>1.3035395847363653</v>
      </c>
      <c r="BN31" s="33">
        <f t="shared" si="30"/>
        <v>0</v>
      </c>
      <c r="BO31" s="21">
        <v>1004458.79</v>
      </c>
      <c r="BP31" s="21">
        <v>941343</v>
      </c>
      <c r="BQ31" s="102">
        <f t="shared" si="31"/>
        <v>1.067</v>
      </c>
      <c r="BR31" s="22">
        <f t="shared" si="32"/>
        <v>1</v>
      </c>
      <c r="BS31" s="48" t="s">
        <v>24</v>
      </c>
      <c r="BT31" s="19">
        <f t="shared" si="33"/>
        <v>1</v>
      </c>
      <c r="BU31" s="35" t="s">
        <v>24</v>
      </c>
      <c r="BV31" s="35" t="s">
        <v>24</v>
      </c>
      <c r="BW31" s="36" t="s">
        <v>24</v>
      </c>
      <c r="BX31" s="33">
        <f t="shared" si="37"/>
        <v>1</v>
      </c>
      <c r="BY31" s="49" t="s">
        <v>24</v>
      </c>
      <c r="BZ31" s="50">
        <f t="shared" si="34"/>
        <v>1</v>
      </c>
      <c r="CA31" s="49" t="s">
        <v>24</v>
      </c>
      <c r="CB31" s="50">
        <f t="shared" si="35"/>
        <v>1</v>
      </c>
      <c r="CC31" s="120">
        <f t="shared" si="6"/>
        <v>18.5</v>
      </c>
      <c r="CD31" s="119">
        <v>0</v>
      </c>
      <c r="CE31" s="131" t="s">
        <v>116</v>
      </c>
      <c r="CF31" s="133">
        <v>0</v>
      </c>
      <c r="CG31" s="121"/>
      <c r="CH31" s="54"/>
      <c r="CJ31" s="126"/>
    </row>
    <row r="32" spans="1:88" ht="12.75" customHeight="1">
      <c r="A32" s="18">
        <v>26</v>
      </c>
      <c r="B32" s="37" t="s">
        <v>132</v>
      </c>
      <c r="C32" s="39">
        <v>426182701.9</v>
      </c>
      <c r="D32" s="40">
        <v>427246676.41</v>
      </c>
      <c r="E32" s="103">
        <f t="shared" si="7"/>
        <v>0.998</v>
      </c>
      <c r="F32" s="22">
        <f t="shared" si="8"/>
        <v>1.5</v>
      </c>
      <c r="G32" s="42">
        <v>3</v>
      </c>
      <c r="H32" s="22">
        <f t="shared" si="40"/>
        <v>1</v>
      </c>
      <c r="I32" s="41">
        <v>171110643.14</v>
      </c>
      <c r="J32" s="24">
        <v>162830730</v>
      </c>
      <c r="K32" s="108">
        <f t="shared" si="9"/>
        <v>1.051</v>
      </c>
      <c r="L32" s="22">
        <f t="shared" si="10"/>
        <v>1</v>
      </c>
      <c r="M32" s="39">
        <v>171110643.14</v>
      </c>
      <c r="N32" s="21">
        <v>160606384.44</v>
      </c>
      <c r="O32" s="26">
        <f t="shared" si="11"/>
        <v>0.06540374304935688</v>
      </c>
      <c r="P32" s="43">
        <f t="shared" si="12"/>
        <v>1</v>
      </c>
      <c r="Q32" s="94">
        <v>8</v>
      </c>
      <c r="R32" s="94">
        <v>8</v>
      </c>
      <c r="S32" s="100">
        <f t="shared" si="13"/>
        <v>1</v>
      </c>
      <c r="T32" s="22">
        <f t="shared" si="14"/>
        <v>1</v>
      </c>
      <c r="U32" s="94">
        <v>2</v>
      </c>
      <c r="V32" s="94">
        <v>9</v>
      </c>
      <c r="W32" s="100">
        <f t="shared" si="15"/>
        <v>0.2222222222222222</v>
      </c>
      <c r="X32" s="22">
        <f t="shared" si="16"/>
        <v>0</v>
      </c>
      <c r="Y32" s="94">
        <v>100</v>
      </c>
      <c r="Z32" s="94">
        <v>117</v>
      </c>
      <c r="AA32" s="100">
        <f t="shared" si="17"/>
        <v>0.8547008547008547</v>
      </c>
      <c r="AB32" s="22">
        <f t="shared" si="18"/>
        <v>1</v>
      </c>
      <c r="AC32" s="27">
        <v>700000</v>
      </c>
      <c r="AD32" s="27">
        <v>314722275.61</v>
      </c>
      <c r="AE32" s="96">
        <f t="shared" si="1"/>
        <v>0.0022241832061084595</v>
      </c>
      <c r="AF32" s="22">
        <f t="shared" si="39"/>
        <v>0</v>
      </c>
      <c r="AG32" s="23">
        <v>10090641.12</v>
      </c>
      <c r="AH32" s="23">
        <v>427246676.41</v>
      </c>
      <c r="AI32" s="100">
        <f t="shared" si="19"/>
        <v>0.024</v>
      </c>
      <c r="AJ32" s="22">
        <f t="shared" si="20"/>
        <v>0</v>
      </c>
      <c r="AK32" s="35" t="s">
        <v>24</v>
      </c>
      <c r="AL32" s="19">
        <f t="shared" si="21"/>
        <v>1</v>
      </c>
      <c r="AM32" s="44">
        <v>0</v>
      </c>
      <c r="AN32" s="22">
        <f t="shared" si="22"/>
        <v>3</v>
      </c>
      <c r="AO32" s="23">
        <v>7944.01</v>
      </c>
      <c r="AP32" s="41">
        <v>8642.41</v>
      </c>
      <c r="AQ32" s="96">
        <f t="shared" si="23"/>
        <v>0.9192</v>
      </c>
      <c r="AR32" s="22">
        <f t="shared" si="24"/>
        <v>1</v>
      </c>
      <c r="AS32" s="41">
        <v>171110643.14</v>
      </c>
      <c r="AT32" s="41">
        <v>150459192.26</v>
      </c>
      <c r="AU32" s="110">
        <f t="shared" si="25"/>
        <v>1.137</v>
      </c>
      <c r="AV32" s="22">
        <f t="shared" si="2"/>
        <v>1.5</v>
      </c>
      <c r="AW32" s="45">
        <v>0</v>
      </c>
      <c r="AX32" s="30">
        <f t="shared" si="3"/>
        <v>1</v>
      </c>
      <c r="AY32" s="31">
        <v>1</v>
      </c>
      <c r="AZ32" s="46">
        <v>1</v>
      </c>
      <c r="BA32" s="115">
        <f t="shared" si="26"/>
        <v>2</v>
      </c>
      <c r="BB32" s="30">
        <f t="shared" si="4"/>
        <v>2</v>
      </c>
      <c r="BC32" s="44" t="s">
        <v>24</v>
      </c>
      <c r="BD32" s="19">
        <f t="shared" si="27"/>
        <v>1</v>
      </c>
      <c r="BE32" s="19">
        <v>0</v>
      </c>
      <c r="BF32" s="47">
        <v>191542125.77</v>
      </c>
      <c r="BG32" s="113">
        <f t="shared" si="28"/>
        <v>0</v>
      </c>
      <c r="BH32" s="33">
        <f t="shared" si="29"/>
        <v>1</v>
      </c>
      <c r="BI32" s="21">
        <v>44146131.08</v>
      </c>
      <c r="BJ32" s="21">
        <v>50386606.59</v>
      </c>
      <c r="BK32" s="21">
        <v>50077806.88</v>
      </c>
      <c r="BL32" s="21">
        <v>69938095.8</v>
      </c>
      <c r="BM32" s="98">
        <f t="shared" si="5"/>
        <v>1.450892035936255</v>
      </c>
      <c r="BN32" s="33">
        <f t="shared" si="30"/>
        <v>0</v>
      </c>
      <c r="BO32" s="21">
        <v>10050540.88</v>
      </c>
      <c r="BP32" s="21">
        <v>7090399.3</v>
      </c>
      <c r="BQ32" s="102">
        <f t="shared" si="31"/>
        <v>1.417</v>
      </c>
      <c r="BR32" s="22">
        <f t="shared" si="32"/>
        <v>1</v>
      </c>
      <c r="BS32" s="48" t="s">
        <v>24</v>
      </c>
      <c r="BT32" s="19">
        <f t="shared" si="33"/>
        <v>1</v>
      </c>
      <c r="BU32" s="35" t="s">
        <v>24</v>
      </c>
      <c r="BV32" s="35" t="s">
        <v>24</v>
      </c>
      <c r="BW32" s="36" t="s">
        <v>24</v>
      </c>
      <c r="BX32" s="33">
        <f t="shared" si="37"/>
        <v>1</v>
      </c>
      <c r="BY32" s="49" t="s">
        <v>24</v>
      </c>
      <c r="BZ32" s="50">
        <f t="shared" si="34"/>
        <v>1</v>
      </c>
      <c r="CA32" s="49" t="s">
        <v>24</v>
      </c>
      <c r="CB32" s="50">
        <f t="shared" si="35"/>
        <v>1</v>
      </c>
      <c r="CC32" s="120">
        <f t="shared" si="6"/>
        <v>23</v>
      </c>
      <c r="CD32" s="119">
        <f t="shared" si="38"/>
        <v>23</v>
      </c>
      <c r="CE32" s="131" t="s">
        <v>159</v>
      </c>
      <c r="CF32" s="133">
        <v>0</v>
      </c>
      <c r="CG32" s="121"/>
      <c r="CH32" s="54"/>
      <c r="CJ32" s="126"/>
    </row>
    <row r="33" spans="1:89" ht="12.75" customHeight="1">
      <c r="A33" s="18">
        <v>27</v>
      </c>
      <c r="B33" s="37" t="s">
        <v>160</v>
      </c>
      <c r="C33" s="39">
        <v>947916764.06</v>
      </c>
      <c r="D33" s="40">
        <v>953628344.16</v>
      </c>
      <c r="E33" s="103">
        <f t="shared" si="7"/>
        <v>0.994</v>
      </c>
      <c r="F33" s="22">
        <f t="shared" si="8"/>
        <v>1.5</v>
      </c>
      <c r="G33" s="42">
        <v>6</v>
      </c>
      <c r="H33" s="22">
        <f t="shared" si="40"/>
        <v>0</v>
      </c>
      <c r="I33" s="41">
        <v>375323570.59</v>
      </c>
      <c r="J33" s="24">
        <v>377459050.5</v>
      </c>
      <c r="K33" s="108">
        <f t="shared" si="9"/>
        <v>0.994</v>
      </c>
      <c r="L33" s="22">
        <f t="shared" si="10"/>
        <v>0</v>
      </c>
      <c r="M33" s="39">
        <v>375323570.59</v>
      </c>
      <c r="N33" s="21">
        <v>298805523</v>
      </c>
      <c r="O33" s="26">
        <f t="shared" si="11"/>
        <v>0.25607976325792337</v>
      </c>
      <c r="P33" s="43">
        <f t="shared" si="12"/>
        <v>0</v>
      </c>
      <c r="Q33" s="94">
        <v>0</v>
      </c>
      <c r="R33" s="94">
        <v>1</v>
      </c>
      <c r="S33" s="100">
        <f t="shared" si="13"/>
        <v>0</v>
      </c>
      <c r="T33" s="22">
        <f t="shared" si="14"/>
        <v>0</v>
      </c>
      <c r="U33" s="94">
        <v>1</v>
      </c>
      <c r="V33" s="94">
        <v>1</v>
      </c>
      <c r="W33" s="100">
        <f t="shared" si="15"/>
        <v>1</v>
      </c>
      <c r="X33" s="22">
        <f t="shared" si="16"/>
        <v>1</v>
      </c>
      <c r="Y33" s="94">
        <v>98</v>
      </c>
      <c r="Z33" s="94">
        <v>117</v>
      </c>
      <c r="AA33" s="100">
        <f t="shared" si="17"/>
        <v>0.8376068376068376</v>
      </c>
      <c r="AB33" s="22">
        <f t="shared" si="18"/>
        <v>1</v>
      </c>
      <c r="AC33" s="27">
        <v>50000</v>
      </c>
      <c r="AD33" s="27">
        <v>741640107.25</v>
      </c>
      <c r="AE33" s="96">
        <f t="shared" si="1"/>
        <v>6.741814461113746E-05</v>
      </c>
      <c r="AF33" s="22">
        <f t="shared" si="39"/>
        <v>0</v>
      </c>
      <c r="AG33" s="23">
        <v>25632881.61</v>
      </c>
      <c r="AH33" s="23">
        <v>953628344.16</v>
      </c>
      <c r="AI33" s="100">
        <f t="shared" si="19"/>
        <v>0.027</v>
      </c>
      <c r="AJ33" s="22">
        <f t="shared" si="20"/>
        <v>0</v>
      </c>
      <c r="AK33" s="35" t="s">
        <v>104</v>
      </c>
      <c r="AL33" s="19">
        <f t="shared" si="21"/>
        <v>0</v>
      </c>
      <c r="AM33" s="44">
        <v>0</v>
      </c>
      <c r="AN33" s="22">
        <f t="shared" si="22"/>
        <v>3</v>
      </c>
      <c r="AO33" s="23">
        <v>12016.79</v>
      </c>
      <c r="AP33" s="41">
        <v>10548.26</v>
      </c>
      <c r="AQ33" s="96">
        <f t="shared" si="23"/>
        <v>1.1392</v>
      </c>
      <c r="AR33" s="22">
        <f t="shared" si="24"/>
        <v>0</v>
      </c>
      <c r="AS33" s="41">
        <v>375323570.59</v>
      </c>
      <c r="AT33" s="41">
        <v>329074099.75</v>
      </c>
      <c r="AU33" s="110">
        <f t="shared" si="25"/>
        <v>1.141</v>
      </c>
      <c r="AV33" s="22">
        <f t="shared" si="2"/>
        <v>1.5</v>
      </c>
      <c r="AW33" s="45">
        <v>0</v>
      </c>
      <c r="AX33" s="30">
        <f t="shared" si="3"/>
        <v>1</v>
      </c>
      <c r="AY33" s="31">
        <v>1</v>
      </c>
      <c r="AZ33" s="46">
        <v>1</v>
      </c>
      <c r="BA33" s="115">
        <f t="shared" si="26"/>
        <v>2</v>
      </c>
      <c r="BB33" s="30">
        <f t="shared" si="4"/>
        <v>2</v>
      </c>
      <c r="BC33" s="44" t="s">
        <v>24</v>
      </c>
      <c r="BD33" s="19">
        <f t="shared" si="27"/>
        <v>1</v>
      </c>
      <c r="BE33" s="19">
        <v>0</v>
      </c>
      <c r="BF33" s="47">
        <v>426034045.25</v>
      </c>
      <c r="BG33" s="113">
        <f t="shared" si="28"/>
        <v>0</v>
      </c>
      <c r="BH33" s="33">
        <f t="shared" si="29"/>
        <v>1</v>
      </c>
      <c r="BI33" s="21">
        <v>115292524.97</v>
      </c>
      <c r="BJ33" s="21">
        <v>120729479.91</v>
      </c>
      <c r="BK33" s="21">
        <v>124065154.95</v>
      </c>
      <c r="BL33" s="21">
        <v>141874257.47</v>
      </c>
      <c r="BM33" s="98">
        <f t="shared" si="5"/>
        <v>1.1819993043099342</v>
      </c>
      <c r="BN33" s="33">
        <f t="shared" si="30"/>
        <v>0</v>
      </c>
      <c r="BO33" s="21">
        <v>26562051.71</v>
      </c>
      <c r="BP33" s="21">
        <v>19013626.1</v>
      </c>
      <c r="BQ33" s="102">
        <f t="shared" si="31"/>
        <v>1.397</v>
      </c>
      <c r="BR33" s="22">
        <f t="shared" si="32"/>
        <v>1</v>
      </c>
      <c r="BS33" s="48" t="s">
        <v>24</v>
      </c>
      <c r="BT33" s="19">
        <f t="shared" si="33"/>
        <v>1</v>
      </c>
      <c r="BU33" s="35" t="s">
        <v>24</v>
      </c>
      <c r="BV33" s="35" t="s">
        <v>24</v>
      </c>
      <c r="BW33" s="36" t="s">
        <v>24</v>
      </c>
      <c r="BX33" s="33">
        <f t="shared" si="37"/>
        <v>1</v>
      </c>
      <c r="BY33" s="49" t="s">
        <v>24</v>
      </c>
      <c r="BZ33" s="50">
        <f t="shared" si="34"/>
        <v>1</v>
      </c>
      <c r="CA33" s="49" t="s">
        <v>187</v>
      </c>
      <c r="CB33" s="50">
        <f t="shared" si="35"/>
        <v>0</v>
      </c>
      <c r="CC33" s="120">
        <f t="shared" si="6"/>
        <v>17</v>
      </c>
      <c r="CD33" s="119">
        <f t="shared" si="38"/>
        <v>17</v>
      </c>
      <c r="CE33" s="131" t="s">
        <v>122</v>
      </c>
      <c r="CF33" s="133">
        <v>0</v>
      </c>
      <c r="CG33" s="121"/>
      <c r="CH33" s="54"/>
      <c r="CJ33" s="126"/>
      <c r="CK33" s="55"/>
    </row>
    <row r="34" spans="1:89" s="55" customFormat="1" ht="12.75" customHeight="1">
      <c r="A34" s="18">
        <v>28</v>
      </c>
      <c r="B34" s="37" t="s">
        <v>134</v>
      </c>
      <c r="C34" s="39">
        <v>513493649.9</v>
      </c>
      <c r="D34" s="40">
        <v>518510897.99</v>
      </c>
      <c r="E34" s="103">
        <f t="shared" si="7"/>
        <v>0.99</v>
      </c>
      <c r="F34" s="22">
        <f t="shared" si="8"/>
        <v>1.5</v>
      </c>
      <c r="G34" s="42">
        <v>7</v>
      </c>
      <c r="H34" s="22">
        <f t="shared" si="40"/>
        <v>0</v>
      </c>
      <c r="I34" s="41">
        <v>156784118.71</v>
      </c>
      <c r="J34" s="24">
        <v>150416700.82</v>
      </c>
      <c r="K34" s="108">
        <f t="shared" si="9"/>
        <v>1.042</v>
      </c>
      <c r="L34" s="22">
        <f t="shared" si="10"/>
        <v>1</v>
      </c>
      <c r="M34" s="39">
        <v>156784118.71</v>
      </c>
      <c r="N34" s="21">
        <v>153043820</v>
      </c>
      <c r="O34" s="26">
        <f t="shared" si="11"/>
        <v>0.024439397226232385</v>
      </c>
      <c r="P34" s="43">
        <f t="shared" si="12"/>
        <v>1</v>
      </c>
      <c r="Q34" s="94">
        <v>6</v>
      </c>
      <c r="R34" s="94">
        <v>7</v>
      </c>
      <c r="S34" s="100">
        <f t="shared" si="13"/>
        <v>0.8571428571428571</v>
      </c>
      <c r="T34" s="22">
        <f t="shared" si="14"/>
        <v>1</v>
      </c>
      <c r="U34" s="94">
        <v>2</v>
      </c>
      <c r="V34" s="94">
        <v>8</v>
      </c>
      <c r="W34" s="100">
        <f t="shared" si="15"/>
        <v>0.25</v>
      </c>
      <c r="X34" s="22">
        <f t="shared" si="16"/>
        <v>0</v>
      </c>
      <c r="Y34" s="94">
        <v>94</v>
      </c>
      <c r="Z34" s="94">
        <v>117</v>
      </c>
      <c r="AA34" s="100">
        <f t="shared" si="17"/>
        <v>0.8034188034188035</v>
      </c>
      <c r="AB34" s="22">
        <f t="shared" si="18"/>
        <v>1</v>
      </c>
      <c r="AC34" s="27">
        <v>200000</v>
      </c>
      <c r="AD34" s="27">
        <v>386557607.14</v>
      </c>
      <c r="AE34" s="96">
        <f t="shared" si="1"/>
        <v>0.0005173873086594459</v>
      </c>
      <c r="AF34" s="22">
        <f t="shared" si="39"/>
        <v>0</v>
      </c>
      <c r="AG34" s="23">
        <v>30881945.97</v>
      </c>
      <c r="AH34" s="23">
        <v>518510897.99</v>
      </c>
      <c r="AI34" s="100">
        <f t="shared" si="19"/>
        <v>0.06</v>
      </c>
      <c r="AJ34" s="22">
        <f t="shared" si="20"/>
        <v>0</v>
      </c>
      <c r="AK34" s="35" t="s">
        <v>104</v>
      </c>
      <c r="AL34" s="19">
        <f t="shared" si="21"/>
        <v>0</v>
      </c>
      <c r="AM34" s="44">
        <v>0</v>
      </c>
      <c r="AN34" s="22">
        <f t="shared" si="22"/>
        <v>3</v>
      </c>
      <c r="AO34" s="23">
        <v>8661.36</v>
      </c>
      <c r="AP34" s="41">
        <v>9412.58</v>
      </c>
      <c r="AQ34" s="96">
        <f t="shared" si="23"/>
        <v>0.9202</v>
      </c>
      <c r="AR34" s="22">
        <f t="shared" si="24"/>
        <v>1</v>
      </c>
      <c r="AS34" s="41">
        <v>156784118.71</v>
      </c>
      <c r="AT34" s="41">
        <v>126985819.43</v>
      </c>
      <c r="AU34" s="110">
        <f t="shared" si="25"/>
        <v>1.235</v>
      </c>
      <c r="AV34" s="22">
        <f t="shared" si="2"/>
        <v>1.5</v>
      </c>
      <c r="AW34" s="45">
        <v>0</v>
      </c>
      <c r="AX34" s="30">
        <f t="shared" si="3"/>
        <v>1</v>
      </c>
      <c r="AY34" s="31">
        <v>1</v>
      </c>
      <c r="AZ34" s="46">
        <v>1</v>
      </c>
      <c r="BA34" s="115">
        <f t="shared" si="26"/>
        <v>2</v>
      </c>
      <c r="BB34" s="30">
        <f t="shared" si="4"/>
        <v>2</v>
      </c>
      <c r="BC34" s="44" t="s">
        <v>188</v>
      </c>
      <c r="BD34" s="19">
        <f t="shared" si="27"/>
        <v>0</v>
      </c>
      <c r="BE34" s="19">
        <v>0</v>
      </c>
      <c r="BF34" s="47">
        <v>265804612.73</v>
      </c>
      <c r="BG34" s="113">
        <f t="shared" si="28"/>
        <v>0</v>
      </c>
      <c r="BH34" s="33">
        <f t="shared" si="29"/>
        <v>1</v>
      </c>
      <c r="BI34" s="21">
        <v>43299049.93</v>
      </c>
      <c r="BJ34" s="21">
        <v>49624851.25</v>
      </c>
      <c r="BK34" s="21">
        <v>42701536.53</v>
      </c>
      <c r="BL34" s="21">
        <v>64706265.09</v>
      </c>
      <c r="BM34" s="98">
        <f t="shared" si="5"/>
        <v>1.431286037100746</v>
      </c>
      <c r="BN34" s="33">
        <f t="shared" si="30"/>
        <v>0</v>
      </c>
      <c r="BO34" s="21">
        <v>10590039.59</v>
      </c>
      <c r="BP34" s="21">
        <v>9337952.2</v>
      </c>
      <c r="BQ34" s="102">
        <f t="shared" si="31"/>
        <v>1.134</v>
      </c>
      <c r="BR34" s="22">
        <f t="shared" si="32"/>
        <v>1</v>
      </c>
      <c r="BS34" s="48" t="s">
        <v>24</v>
      </c>
      <c r="BT34" s="19">
        <f t="shared" si="33"/>
        <v>1</v>
      </c>
      <c r="BU34" s="35" t="s">
        <v>24</v>
      </c>
      <c r="BV34" s="35" t="s">
        <v>24</v>
      </c>
      <c r="BW34" s="36" t="s">
        <v>105</v>
      </c>
      <c r="BX34" s="33">
        <f t="shared" si="37"/>
        <v>0</v>
      </c>
      <c r="BY34" s="49" t="s">
        <v>24</v>
      </c>
      <c r="BZ34" s="50">
        <f t="shared" si="34"/>
        <v>1</v>
      </c>
      <c r="CA34" s="49" t="s">
        <v>187</v>
      </c>
      <c r="CB34" s="50">
        <f t="shared" si="35"/>
        <v>0</v>
      </c>
      <c r="CC34" s="120">
        <f t="shared" si="6"/>
        <v>18</v>
      </c>
      <c r="CD34" s="119">
        <f t="shared" si="38"/>
        <v>18</v>
      </c>
      <c r="CE34" s="131" t="s">
        <v>123</v>
      </c>
      <c r="CF34" s="133">
        <v>0</v>
      </c>
      <c r="CG34" s="121"/>
      <c r="CH34" s="53"/>
      <c r="CJ34" s="126"/>
      <c r="CK34"/>
    </row>
    <row r="35" spans="1:89" ht="12.75" customHeight="1">
      <c r="A35" s="18">
        <v>29</v>
      </c>
      <c r="B35" s="37" t="s">
        <v>135</v>
      </c>
      <c r="C35" s="39">
        <v>570838678.41</v>
      </c>
      <c r="D35" s="40">
        <v>574499239.44</v>
      </c>
      <c r="E35" s="103">
        <f t="shared" si="7"/>
        <v>0.994</v>
      </c>
      <c r="F35" s="22">
        <f t="shared" si="8"/>
        <v>1.5</v>
      </c>
      <c r="G35" s="42">
        <v>3</v>
      </c>
      <c r="H35" s="22">
        <f t="shared" si="40"/>
        <v>1</v>
      </c>
      <c r="I35" s="41">
        <v>206141200.98</v>
      </c>
      <c r="J35" s="24">
        <v>205506281</v>
      </c>
      <c r="K35" s="108">
        <f t="shared" si="9"/>
        <v>1.003</v>
      </c>
      <c r="L35" s="22">
        <f t="shared" si="10"/>
        <v>1</v>
      </c>
      <c r="M35" s="39">
        <v>206141200.98</v>
      </c>
      <c r="N35" s="21">
        <v>180291100</v>
      </c>
      <c r="O35" s="26">
        <f t="shared" si="11"/>
        <v>0.14337979512022495</v>
      </c>
      <c r="P35" s="43">
        <f t="shared" si="12"/>
        <v>0</v>
      </c>
      <c r="Q35" s="94">
        <v>0</v>
      </c>
      <c r="R35" s="94">
        <v>8</v>
      </c>
      <c r="S35" s="100">
        <f t="shared" si="13"/>
        <v>0</v>
      </c>
      <c r="T35" s="22">
        <f t="shared" si="14"/>
        <v>0</v>
      </c>
      <c r="U35" s="94">
        <v>1</v>
      </c>
      <c r="V35" s="94">
        <v>9</v>
      </c>
      <c r="W35" s="100">
        <f t="shared" si="15"/>
        <v>0.1111111111111111</v>
      </c>
      <c r="X35" s="22">
        <f t="shared" si="16"/>
        <v>0</v>
      </c>
      <c r="Y35" s="94">
        <v>97</v>
      </c>
      <c r="Z35" s="94">
        <v>117</v>
      </c>
      <c r="AA35" s="100">
        <f t="shared" si="17"/>
        <v>0.8290598290598291</v>
      </c>
      <c r="AB35" s="22">
        <f t="shared" si="18"/>
        <v>1</v>
      </c>
      <c r="AC35" s="27">
        <v>100000</v>
      </c>
      <c r="AD35" s="27">
        <v>401964606.35</v>
      </c>
      <c r="AE35" s="96">
        <f t="shared" si="1"/>
        <v>0.00024877812230295635</v>
      </c>
      <c r="AF35" s="22">
        <f t="shared" si="39"/>
        <v>0</v>
      </c>
      <c r="AG35" s="23">
        <v>15956048.83</v>
      </c>
      <c r="AH35" s="23">
        <v>574499239.44</v>
      </c>
      <c r="AI35" s="100">
        <f t="shared" si="19"/>
        <v>0.028</v>
      </c>
      <c r="AJ35" s="22">
        <f t="shared" si="20"/>
        <v>0</v>
      </c>
      <c r="AK35" s="35" t="s">
        <v>24</v>
      </c>
      <c r="AL35" s="19">
        <f t="shared" si="21"/>
        <v>1</v>
      </c>
      <c r="AM35" s="44">
        <v>0</v>
      </c>
      <c r="AN35" s="22">
        <f t="shared" si="22"/>
        <v>3</v>
      </c>
      <c r="AO35" s="23">
        <v>8566.45</v>
      </c>
      <c r="AP35" s="41">
        <v>8973.43</v>
      </c>
      <c r="AQ35" s="96">
        <f t="shared" si="23"/>
        <v>0.9546</v>
      </c>
      <c r="AR35" s="22">
        <f t="shared" si="24"/>
        <v>1</v>
      </c>
      <c r="AS35" s="41">
        <v>206141200.98</v>
      </c>
      <c r="AT35" s="41">
        <v>174660185.83</v>
      </c>
      <c r="AU35" s="110">
        <f t="shared" si="25"/>
        <v>1.18</v>
      </c>
      <c r="AV35" s="22">
        <f t="shared" si="2"/>
        <v>1.5</v>
      </c>
      <c r="AW35" s="45">
        <v>0</v>
      </c>
      <c r="AX35" s="30">
        <f t="shared" si="3"/>
        <v>1</v>
      </c>
      <c r="AY35" s="31">
        <v>1</v>
      </c>
      <c r="AZ35" s="46">
        <v>1</v>
      </c>
      <c r="BA35" s="115">
        <f t="shared" si="26"/>
        <v>2</v>
      </c>
      <c r="BB35" s="30">
        <f t="shared" si="4"/>
        <v>2</v>
      </c>
      <c r="BC35" s="44" t="s">
        <v>104</v>
      </c>
      <c r="BD35" s="19">
        <f t="shared" si="27"/>
        <v>0</v>
      </c>
      <c r="BE35" s="19">
        <v>0</v>
      </c>
      <c r="BF35" s="47">
        <v>282076948.29</v>
      </c>
      <c r="BG35" s="113">
        <f t="shared" si="28"/>
        <v>0</v>
      </c>
      <c r="BH35" s="33">
        <f t="shared" si="29"/>
        <v>1</v>
      </c>
      <c r="BI35" s="21">
        <v>52735718.45</v>
      </c>
      <c r="BJ35" s="21">
        <v>68730038.15</v>
      </c>
      <c r="BK35" s="21">
        <v>57696121.17</v>
      </c>
      <c r="BL35" s="21">
        <v>67749985.3</v>
      </c>
      <c r="BM35" s="98">
        <f t="shared" si="5"/>
        <v>1.1344486808791052</v>
      </c>
      <c r="BN35" s="33">
        <f t="shared" si="30"/>
        <v>0</v>
      </c>
      <c r="BO35" s="21">
        <v>11536224.31</v>
      </c>
      <c r="BP35" s="21">
        <v>9418584.4</v>
      </c>
      <c r="BQ35" s="102">
        <f t="shared" si="31"/>
        <v>1.225</v>
      </c>
      <c r="BR35" s="22">
        <f t="shared" si="32"/>
        <v>1</v>
      </c>
      <c r="BS35" s="48" t="s">
        <v>24</v>
      </c>
      <c r="BT35" s="19">
        <f t="shared" si="33"/>
        <v>1</v>
      </c>
      <c r="BU35" s="35" t="s">
        <v>24</v>
      </c>
      <c r="BV35" s="35" t="s">
        <v>24</v>
      </c>
      <c r="BW35" s="135" t="s">
        <v>24</v>
      </c>
      <c r="BX35" s="33">
        <f t="shared" si="37"/>
        <v>1</v>
      </c>
      <c r="BY35" s="49" t="s">
        <v>24</v>
      </c>
      <c r="BZ35" s="50">
        <f t="shared" si="34"/>
        <v>1</v>
      </c>
      <c r="CA35" s="49" t="s">
        <v>24</v>
      </c>
      <c r="CB35" s="50">
        <f t="shared" si="35"/>
        <v>1</v>
      </c>
      <c r="CC35" s="120">
        <f t="shared" si="6"/>
        <v>20</v>
      </c>
      <c r="CD35" s="119">
        <v>0</v>
      </c>
      <c r="CE35" s="131" t="s">
        <v>125</v>
      </c>
      <c r="CF35" s="104">
        <v>0</v>
      </c>
      <c r="CG35" s="104"/>
      <c r="CH35" s="54"/>
      <c r="CJ35" s="126"/>
      <c r="CK35" s="55"/>
    </row>
    <row r="36" spans="1:88" ht="12.75" customHeight="1">
      <c r="A36" s="18">
        <v>30</v>
      </c>
      <c r="B36" s="37" t="s">
        <v>136</v>
      </c>
      <c r="C36" s="39">
        <v>761818852.3</v>
      </c>
      <c r="D36" s="40">
        <v>769727156.44</v>
      </c>
      <c r="E36" s="103">
        <f t="shared" si="7"/>
        <v>0.99</v>
      </c>
      <c r="F36" s="22">
        <f t="shared" si="8"/>
        <v>1.5</v>
      </c>
      <c r="G36" s="42">
        <v>9</v>
      </c>
      <c r="H36" s="22">
        <f t="shared" si="40"/>
        <v>0</v>
      </c>
      <c r="I36" s="41">
        <v>239170565.84</v>
      </c>
      <c r="J36" s="24">
        <v>234426703.8</v>
      </c>
      <c r="K36" s="108">
        <f t="shared" si="9"/>
        <v>1.02</v>
      </c>
      <c r="L36" s="22">
        <f t="shared" si="10"/>
        <v>1</v>
      </c>
      <c r="M36" s="39">
        <v>239170565.84</v>
      </c>
      <c r="N36" s="21">
        <v>191242000</v>
      </c>
      <c r="O36" s="26">
        <f t="shared" si="11"/>
        <v>0.25061736354984787</v>
      </c>
      <c r="P36" s="43">
        <f t="shared" si="12"/>
        <v>0</v>
      </c>
      <c r="Q36" s="94">
        <v>6</v>
      </c>
      <c r="R36" s="94">
        <v>8</v>
      </c>
      <c r="S36" s="100">
        <f t="shared" si="13"/>
        <v>0.75</v>
      </c>
      <c r="T36" s="22">
        <f t="shared" si="14"/>
        <v>0</v>
      </c>
      <c r="U36" s="94">
        <v>2</v>
      </c>
      <c r="V36" s="94">
        <v>9</v>
      </c>
      <c r="W36" s="100">
        <f t="shared" si="15"/>
        <v>0.2222222222222222</v>
      </c>
      <c r="X36" s="22">
        <f t="shared" si="16"/>
        <v>0</v>
      </c>
      <c r="Y36" s="94">
        <v>80</v>
      </c>
      <c r="Z36" s="94">
        <v>117</v>
      </c>
      <c r="AA36" s="100">
        <f t="shared" si="17"/>
        <v>0.6837606837606838</v>
      </c>
      <c r="AB36" s="22">
        <f t="shared" si="18"/>
        <v>0</v>
      </c>
      <c r="AC36" s="27">
        <v>74200</v>
      </c>
      <c r="AD36" s="27">
        <v>561202771.78</v>
      </c>
      <c r="AE36" s="96">
        <f t="shared" si="1"/>
        <v>0.00013221602552791298</v>
      </c>
      <c r="AF36" s="22">
        <f t="shared" si="39"/>
        <v>0</v>
      </c>
      <c r="AG36" s="23">
        <v>72561262.14</v>
      </c>
      <c r="AH36" s="23">
        <v>769727156.44</v>
      </c>
      <c r="AI36" s="100">
        <f t="shared" si="19"/>
        <v>0.094</v>
      </c>
      <c r="AJ36" s="22">
        <f t="shared" si="20"/>
        <v>0</v>
      </c>
      <c r="AK36" s="35" t="s">
        <v>104</v>
      </c>
      <c r="AL36" s="19">
        <f t="shared" si="21"/>
        <v>0</v>
      </c>
      <c r="AM36" s="44">
        <v>0</v>
      </c>
      <c r="AN36" s="22">
        <f t="shared" si="22"/>
        <v>3</v>
      </c>
      <c r="AO36" s="23">
        <v>42895.66</v>
      </c>
      <c r="AP36" s="41">
        <v>39041.81</v>
      </c>
      <c r="AQ36" s="96">
        <f t="shared" si="23"/>
        <v>1.0987</v>
      </c>
      <c r="AR36" s="22">
        <f t="shared" si="24"/>
        <v>0</v>
      </c>
      <c r="AS36" s="41">
        <v>239170565.84</v>
      </c>
      <c r="AT36" s="41">
        <v>197908273.19</v>
      </c>
      <c r="AU36" s="110">
        <f t="shared" si="25"/>
        <v>1.208</v>
      </c>
      <c r="AV36" s="22">
        <f t="shared" si="2"/>
        <v>1.5</v>
      </c>
      <c r="AW36" s="45">
        <v>0</v>
      </c>
      <c r="AX36" s="30">
        <f t="shared" si="3"/>
        <v>1</v>
      </c>
      <c r="AY36" s="31">
        <v>1</v>
      </c>
      <c r="AZ36" s="46">
        <v>1</v>
      </c>
      <c r="BA36" s="115">
        <f t="shared" si="26"/>
        <v>2</v>
      </c>
      <c r="BB36" s="30">
        <f t="shared" si="4"/>
        <v>2</v>
      </c>
      <c r="BC36" s="44" t="s">
        <v>24</v>
      </c>
      <c r="BD36" s="19">
        <f t="shared" si="27"/>
        <v>1</v>
      </c>
      <c r="BE36" s="19">
        <v>0</v>
      </c>
      <c r="BF36" s="47">
        <v>380583221.12</v>
      </c>
      <c r="BG36" s="113">
        <f t="shared" si="28"/>
        <v>0</v>
      </c>
      <c r="BH36" s="33">
        <f t="shared" si="29"/>
        <v>1</v>
      </c>
      <c r="BI36" s="21">
        <v>73330298.93</v>
      </c>
      <c r="BJ36" s="21">
        <v>77291873.68</v>
      </c>
      <c r="BK36" s="21">
        <v>72238997.47</v>
      </c>
      <c r="BL36" s="21">
        <v>115214815.94</v>
      </c>
      <c r="BM36" s="98">
        <f t="shared" si="5"/>
        <v>1.55094064926575</v>
      </c>
      <c r="BN36" s="33">
        <f t="shared" si="30"/>
        <v>0</v>
      </c>
      <c r="BO36" s="21">
        <v>20555052.47</v>
      </c>
      <c r="BP36" s="21">
        <v>16864809.5</v>
      </c>
      <c r="BQ36" s="102">
        <f t="shared" si="31"/>
        <v>1.219</v>
      </c>
      <c r="BR36" s="22">
        <f t="shared" si="32"/>
        <v>1</v>
      </c>
      <c r="BS36" s="48" t="s">
        <v>24</v>
      </c>
      <c r="BT36" s="19">
        <f t="shared" si="33"/>
        <v>1</v>
      </c>
      <c r="BU36" s="35" t="s">
        <v>24</v>
      </c>
      <c r="BV36" s="35" t="s">
        <v>24</v>
      </c>
      <c r="BW36" s="36" t="s">
        <v>24</v>
      </c>
      <c r="BX36" s="33">
        <f t="shared" si="37"/>
        <v>1</v>
      </c>
      <c r="BY36" s="49" t="s">
        <v>24</v>
      </c>
      <c r="BZ36" s="50">
        <f t="shared" si="34"/>
        <v>1</v>
      </c>
      <c r="CA36" s="49" t="s">
        <v>24</v>
      </c>
      <c r="CB36" s="50">
        <f t="shared" si="35"/>
        <v>1</v>
      </c>
      <c r="CC36" s="120">
        <f t="shared" si="6"/>
        <v>17</v>
      </c>
      <c r="CD36" s="119">
        <f t="shared" si="38"/>
        <v>17</v>
      </c>
      <c r="CE36" s="131" t="s">
        <v>131</v>
      </c>
      <c r="CF36" s="133">
        <v>0</v>
      </c>
      <c r="CG36" s="121"/>
      <c r="CH36" s="54"/>
      <c r="CJ36" s="126"/>
    </row>
    <row r="37" spans="1:88" ht="12.75" customHeight="1">
      <c r="A37" s="18">
        <v>31</v>
      </c>
      <c r="B37" s="56" t="s">
        <v>137</v>
      </c>
      <c r="C37" s="58">
        <v>1027473358.6</v>
      </c>
      <c r="D37" s="59">
        <v>1032807475.62</v>
      </c>
      <c r="E37" s="103">
        <f t="shared" si="7"/>
        <v>0.995</v>
      </c>
      <c r="F37" s="22">
        <f t="shared" si="8"/>
        <v>1.5</v>
      </c>
      <c r="G37" s="63">
        <v>6</v>
      </c>
      <c r="H37" s="60">
        <f t="shared" si="40"/>
        <v>0</v>
      </c>
      <c r="I37" s="61">
        <v>324694480.23</v>
      </c>
      <c r="J37" s="62">
        <v>303380395</v>
      </c>
      <c r="K37" s="108">
        <f t="shared" si="9"/>
        <v>1.07</v>
      </c>
      <c r="L37" s="60">
        <f t="shared" si="10"/>
        <v>1</v>
      </c>
      <c r="M37" s="58">
        <v>324694480.23</v>
      </c>
      <c r="N37" s="64">
        <v>280319000</v>
      </c>
      <c r="O37" s="65">
        <f t="shared" si="11"/>
        <v>0.15830350504246954</v>
      </c>
      <c r="P37" s="66">
        <f t="shared" si="12"/>
        <v>0</v>
      </c>
      <c r="Q37" s="95">
        <v>9</v>
      </c>
      <c r="R37" s="95">
        <v>9</v>
      </c>
      <c r="S37" s="101">
        <f t="shared" si="13"/>
        <v>1</v>
      </c>
      <c r="T37" s="60">
        <f t="shared" si="14"/>
        <v>1</v>
      </c>
      <c r="U37" s="94">
        <v>4</v>
      </c>
      <c r="V37" s="95">
        <v>10</v>
      </c>
      <c r="W37" s="100">
        <f>U37/V37</f>
        <v>0.4</v>
      </c>
      <c r="X37" s="22">
        <f t="shared" si="16"/>
        <v>0</v>
      </c>
      <c r="Y37" s="95">
        <v>67</v>
      </c>
      <c r="Z37" s="95">
        <v>117</v>
      </c>
      <c r="AA37" s="100">
        <f t="shared" si="17"/>
        <v>0.5726495726495726</v>
      </c>
      <c r="AB37" s="22">
        <f t="shared" si="18"/>
        <v>0</v>
      </c>
      <c r="AC37" s="67">
        <v>1000000</v>
      </c>
      <c r="AD37" s="67">
        <v>646469177.27</v>
      </c>
      <c r="AE37" s="96">
        <f t="shared" si="1"/>
        <v>0.0015468641586640513</v>
      </c>
      <c r="AF37" s="22">
        <f t="shared" si="39"/>
        <v>0</v>
      </c>
      <c r="AG37" s="69">
        <v>109118392.99</v>
      </c>
      <c r="AH37" s="23">
        <v>1032807475.62</v>
      </c>
      <c r="AI37" s="100">
        <f t="shared" si="19"/>
        <v>0.106</v>
      </c>
      <c r="AJ37" s="22">
        <f t="shared" si="20"/>
        <v>0</v>
      </c>
      <c r="AK37" s="35" t="s">
        <v>24</v>
      </c>
      <c r="AL37" s="19">
        <f t="shared" si="21"/>
        <v>1</v>
      </c>
      <c r="AM37" s="68">
        <v>0</v>
      </c>
      <c r="AN37" s="22">
        <f t="shared" si="22"/>
        <v>3</v>
      </c>
      <c r="AO37" s="69">
        <v>19910.18</v>
      </c>
      <c r="AP37" s="61">
        <v>26419.51</v>
      </c>
      <c r="AQ37" s="96">
        <f t="shared" si="23"/>
        <v>0.7536</v>
      </c>
      <c r="AR37" s="22">
        <f t="shared" si="24"/>
        <v>1</v>
      </c>
      <c r="AS37" s="61">
        <v>324694480.23</v>
      </c>
      <c r="AT37" s="61">
        <v>305723116.86</v>
      </c>
      <c r="AU37" s="110">
        <f t="shared" si="25"/>
        <v>1.062</v>
      </c>
      <c r="AV37" s="22">
        <f t="shared" si="2"/>
        <v>1</v>
      </c>
      <c r="AW37" s="70">
        <v>0</v>
      </c>
      <c r="AX37" s="71">
        <f t="shared" si="3"/>
        <v>1</v>
      </c>
      <c r="AY37" s="72">
        <v>1</v>
      </c>
      <c r="AZ37" s="73">
        <v>1</v>
      </c>
      <c r="BA37" s="116">
        <f t="shared" si="26"/>
        <v>2</v>
      </c>
      <c r="BB37" s="71">
        <f t="shared" si="4"/>
        <v>2</v>
      </c>
      <c r="BC37" s="68" t="s">
        <v>104</v>
      </c>
      <c r="BD37" s="57">
        <f t="shared" si="27"/>
        <v>0</v>
      </c>
      <c r="BE37" s="19">
        <v>0</v>
      </c>
      <c r="BF37" s="132">
        <v>479923084.01</v>
      </c>
      <c r="BG37" s="114">
        <f t="shared" si="28"/>
        <v>0</v>
      </c>
      <c r="BH37" s="74">
        <f t="shared" si="29"/>
        <v>1</v>
      </c>
      <c r="BI37" s="64">
        <v>93717940.45</v>
      </c>
      <c r="BJ37" s="21">
        <v>101822264.65</v>
      </c>
      <c r="BK37" s="64">
        <v>95942685.82</v>
      </c>
      <c r="BL37" s="64">
        <v>125793774.03</v>
      </c>
      <c r="BM37" s="98">
        <f t="shared" si="5"/>
        <v>1.2946945904745248</v>
      </c>
      <c r="BN37" s="33">
        <f t="shared" si="30"/>
        <v>0</v>
      </c>
      <c r="BO37" s="64">
        <v>26795570.28</v>
      </c>
      <c r="BP37" s="64">
        <v>18741203.3</v>
      </c>
      <c r="BQ37" s="102">
        <f t="shared" si="31"/>
        <v>1.43</v>
      </c>
      <c r="BR37" s="22">
        <f t="shared" si="32"/>
        <v>1</v>
      </c>
      <c r="BS37" s="75" t="s">
        <v>24</v>
      </c>
      <c r="BT37" s="57">
        <f t="shared" si="33"/>
        <v>1</v>
      </c>
      <c r="BU37" s="76" t="s">
        <v>24</v>
      </c>
      <c r="BV37" s="76" t="s">
        <v>24</v>
      </c>
      <c r="BW37" s="77" t="s">
        <v>24</v>
      </c>
      <c r="BX37" s="33">
        <f t="shared" si="37"/>
        <v>1</v>
      </c>
      <c r="BY37" s="78" t="s">
        <v>24</v>
      </c>
      <c r="BZ37" s="79">
        <f t="shared" si="34"/>
        <v>1</v>
      </c>
      <c r="CA37" s="78" t="s">
        <v>24</v>
      </c>
      <c r="CB37" s="79">
        <f t="shared" si="35"/>
        <v>1</v>
      </c>
      <c r="CC37" s="120">
        <f t="shared" si="6"/>
        <v>18.5</v>
      </c>
      <c r="CD37" s="119">
        <f t="shared" si="38"/>
        <v>18.5</v>
      </c>
      <c r="CE37" s="131" t="s">
        <v>135</v>
      </c>
      <c r="CF37" s="133">
        <v>0</v>
      </c>
      <c r="CG37" s="125"/>
      <c r="CH37" s="80"/>
      <c r="CJ37" s="126"/>
    </row>
    <row r="38" spans="1:86" ht="14.25" customHeight="1">
      <c r="A38" s="164" t="s">
        <v>34</v>
      </c>
      <c r="B38" s="165"/>
      <c r="C38" s="82">
        <f>SUM(C7:C37)</f>
        <v>35125402079.84</v>
      </c>
      <c r="D38" s="82">
        <f>SUM(D7:D37)</f>
        <v>35543368375.50001</v>
      </c>
      <c r="E38" s="84">
        <f>C38/D38</f>
        <v>0.9882406672534696</v>
      </c>
      <c r="F38" s="81" t="s">
        <v>36</v>
      </c>
      <c r="G38" s="87" t="s">
        <v>35</v>
      </c>
      <c r="H38" s="81" t="s">
        <v>38</v>
      </c>
      <c r="I38" s="82">
        <f>SUM(I7:I37)</f>
        <v>9931970030.629997</v>
      </c>
      <c r="J38" s="83">
        <f>SUM(J7:J37)</f>
        <v>9665436821.189999</v>
      </c>
      <c r="K38" s="109">
        <f t="shared" si="9"/>
        <v>1.028</v>
      </c>
      <c r="L38" s="81" t="s">
        <v>37</v>
      </c>
      <c r="M38" s="82">
        <f>SUM(M7:M37)</f>
        <v>9931970030.629997</v>
      </c>
      <c r="N38" s="83">
        <f>SUM(N7:N37)</f>
        <v>8715553120.119999</v>
      </c>
      <c r="O38" s="85">
        <f t="shared" si="11"/>
        <v>0.13956852694774813</v>
      </c>
      <c r="P38" s="83" t="s">
        <v>35</v>
      </c>
      <c r="Q38" s="86" t="s">
        <v>35</v>
      </c>
      <c r="R38" s="86" t="s">
        <v>35</v>
      </c>
      <c r="S38" s="86" t="s">
        <v>35</v>
      </c>
      <c r="T38" s="81" t="s">
        <v>39</v>
      </c>
      <c r="U38" s="81" t="s">
        <v>35</v>
      </c>
      <c r="V38" s="81" t="s">
        <v>35</v>
      </c>
      <c r="W38" s="81"/>
      <c r="X38" s="81">
        <f>IF(U38="да",1,0)</f>
        <v>0</v>
      </c>
      <c r="Y38" s="81" t="s">
        <v>35</v>
      </c>
      <c r="Z38" s="81" t="s">
        <v>35</v>
      </c>
      <c r="AA38" s="81" t="s">
        <v>35</v>
      </c>
      <c r="AB38" s="81"/>
      <c r="AC38" s="88">
        <f>SUM(AC7:AC37)</f>
        <v>38570286.1</v>
      </c>
      <c r="AD38" s="88">
        <f>SUM(AD7:AD37)</f>
        <v>26079833806.520004</v>
      </c>
      <c r="AE38" s="107">
        <f t="shared" si="1"/>
        <v>0.001478931437452541</v>
      </c>
      <c r="AF38" s="81">
        <f>IF(AC38="да",1,0)</f>
        <v>0</v>
      </c>
      <c r="AG38" s="82">
        <f>SUM(AG7:AG37)</f>
        <v>2195967048.3599997</v>
      </c>
      <c r="AH38" s="82">
        <f>SUM(AH7:AH37)</f>
        <v>35543368375.50001</v>
      </c>
      <c r="AI38" s="106">
        <f t="shared" si="19"/>
        <v>0.062</v>
      </c>
      <c r="AJ38" s="81"/>
      <c r="AK38" s="81"/>
      <c r="AL38" s="81"/>
      <c r="AM38" s="81" t="s">
        <v>35</v>
      </c>
      <c r="AN38" s="81" t="s">
        <v>40</v>
      </c>
      <c r="AO38" s="82">
        <f>SUM(AO7:AO37)</f>
        <v>984408.6799999999</v>
      </c>
      <c r="AP38" s="82">
        <f>SUM(AP7:AP37)</f>
        <v>1111316.81</v>
      </c>
      <c r="AQ38" s="81" t="s">
        <v>41</v>
      </c>
      <c r="AR38" s="87">
        <f>IF(AQ38&lt;=1,1,0)</f>
        <v>0</v>
      </c>
      <c r="AS38" s="82">
        <f>SUM(AS7:AS37)</f>
        <v>9931970030.629997</v>
      </c>
      <c r="AT38" s="83">
        <f>SUM(AT7:AT37)</f>
        <v>9211360074.050003</v>
      </c>
      <c r="AU38" s="111">
        <f>ROUND(AS38/AT38,3)</f>
        <v>1.078</v>
      </c>
      <c r="AV38" s="88" t="s">
        <v>36</v>
      </c>
      <c r="AW38" s="87" t="s">
        <v>35</v>
      </c>
      <c r="AX38" s="87" t="s">
        <v>35</v>
      </c>
      <c r="AY38" s="87" t="s">
        <v>35</v>
      </c>
      <c r="AZ38" s="81" t="s">
        <v>42</v>
      </c>
      <c r="BA38" s="87" t="s">
        <v>35</v>
      </c>
      <c r="BB38" s="87" t="s">
        <v>35</v>
      </c>
      <c r="BC38" s="81" t="s">
        <v>35</v>
      </c>
      <c r="BD38" s="89">
        <f t="shared" si="27"/>
        <v>0</v>
      </c>
      <c r="BE38" s="82">
        <f>SUM(BE7:BE37)</f>
        <v>0</v>
      </c>
      <c r="BF38" s="82">
        <f>SUM(BF7:BF37)</f>
        <v>18762119154.529995</v>
      </c>
      <c r="BG38" s="87" t="s">
        <v>35</v>
      </c>
      <c r="BH38" s="87" t="s">
        <v>35</v>
      </c>
      <c r="BI38" s="128">
        <f>SUM(BI7:BI37)</f>
        <v>2680817624.7099986</v>
      </c>
      <c r="BJ38" s="128">
        <f>SUM(BJ7:BJ37)</f>
        <v>3262095784.790001</v>
      </c>
      <c r="BK38" s="128">
        <f>SUM(BK7:BK37)</f>
        <v>2941785894.1800003</v>
      </c>
      <c r="BL38" s="128">
        <f>SUM(BL7:BL37)</f>
        <v>4662171453.53</v>
      </c>
      <c r="BM38" s="87" t="s">
        <v>35</v>
      </c>
      <c r="BN38" s="87"/>
      <c r="BO38" s="128">
        <f>SUM(BO7:BO37)</f>
        <v>1079224156.9899998</v>
      </c>
      <c r="BP38" s="128">
        <f>SUM(BP7:BP37)</f>
        <v>790753721.4</v>
      </c>
      <c r="BQ38" s="81" t="s">
        <v>35</v>
      </c>
      <c r="BR38" s="81" t="s">
        <v>35</v>
      </c>
      <c r="BS38" s="81" t="s">
        <v>35</v>
      </c>
      <c r="BT38" s="81">
        <f t="shared" si="33"/>
        <v>0</v>
      </c>
      <c r="BU38" s="81" t="s">
        <v>35</v>
      </c>
      <c r="BV38" s="89" t="s">
        <v>35</v>
      </c>
      <c r="BW38" s="89" t="s">
        <v>35</v>
      </c>
      <c r="BX38" s="89">
        <f>IF(AND(BU38="да",BV38="да",BW38="да"),1,0)</f>
        <v>0</v>
      </c>
      <c r="BY38" s="81" t="s">
        <v>35</v>
      </c>
      <c r="BZ38" s="81">
        <f t="shared" si="34"/>
        <v>0</v>
      </c>
      <c r="CA38" s="81" t="s">
        <v>35</v>
      </c>
      <c r="CB38" s="81">
        <f t="shared" si="35"/>
        <v>0</v>
      </c>
      <c r="CC38" s="89" t="s">
        <v>35</v>
      </c>
      <c r="CD38" s="81"/>
      <c r="CE38" s="81"/>
      <c r="CF38" s="87" t="s">
        <v>35</v>
      </c>
      <c r="CG38" s="82">
        <f>SUM(CG7:CG37)</f>
        <v>0</v>
      </c>
      <c r="CH38" s="82">
        <f>SUM(CH7:CH37)</f>
        <v>4000003</v>
      </c>
    </row>
    <row r="39" spans="1:82" ht="14.25">
      <c r="A39" s="124"/>
      <c r="B39" s="124" t="s">
        <v>149</v>
      </c>
      <c r="C39" s="124"/>
      <c r="I39" s="134"/>
      <c r="J39" s="134"/>
      <c r="K39" s="134"/>
      <c r="M39" s="134"/>
      <c r="N39" s="134"/>
      <c r="U39" s="134"/>
      <c r="V39" s="134"/>
      <c r="Y39" s="134"/>
      <c r="Z39" s="134"/>
      <c r="AC39" s="134"/>
      <c r="AD39" s="134"/>
      <c r="AG39" s="134"/>
      <c r="AH39" s="134"/>
      <c r="AS39" s="134"/>
      <c r="AT39" s="134"/>
      <c r="BF39" s="134"/>
      <c r="BI39" s="134"/>
      <c r="BJ39" s="134"/>
      <c r="BK39" s="134"/>
      <c r="BL39" s="134"/>
      <c r="BM39" s="134"/>
      <c r="BX39" s="90"/>
      <c r="CC39" s="91"/>
      <c r="CD39" s="91"/>
    </row>
    <row r="40" spans="11:82" ht="14.25">
      <c r="K40" s="93"/>
      <c r="AC40" s="134"/>
      <c r="AD40" s="134"/>
      <c r="CC40" s="92"/>
      <c r="CD40" s="92"/>
    </row>
    <row r="41" spans="19:34" ht="14.25">
      <c r="S41">
        <f>6/8</f>
        <v>0.75</v>
      </c>
      <c r="AH41" s="97"/>
    </row>
  </sheetData>
  <sheetProtection/>
  <mergeCells count="56">
    <mergeCell ref="A5:B5"/>
    <mergeCell ref="I3:L3"/>
    <mergeCell ref="CC2:CC5"/>
    <mergeCell ref="CD2:CD5"/>
    <mergeCell ref="A38:B38"/>
    <mergeCell ref="G2:H2"/>
    <mergeCell ref="G3:H3"/>
    <mergeCell ref="M2:P2"/>
    <mergeCell ref="Q2:T2"/>
    <mergeCell ref="U2:X2"/>
    <mergeCell ref="A2:B4"/>
    <mergeCell ref="AS2:AV2"/>
    <mergeCell ref="A6:B6"/>
    <mergeCell ref="AK2:AL2"/>
    <mergeCell ref="M3:P3"/>
    <mergeCell ref="Q3:T3"/>
    <mergeCell ref="AC2:AF2"/>
    <mergeCell ref="AC3:AF3"/>
    <mergeCell ref="C2:F2"/>
    <mergeCell ref="I2:L2"/>
    <mergeCell ref="C3:F3"/>
    <mergeCell ref="U3:X3"/>
    <mergeCell ref="Y3:AB3"/>
    <mergeCell ref="AM3:AN3"/>
    <mergeCell ref="AG3:AJ3"/>
    <mergeCell ref="Y2:AB2"/>
    <mergeCell ref="AM2:AN2"/>
    <mergeCell ref="AG2:AJ2"/>
    <mergeCell ref="AK3:AL3"/>
    <mergeCell ref="BI2:BN2"/>
    <mergeCell ref="BS3:BT3"/>
    <mergeCell ref="BU3:BX3"/>
    <mergeCell ref="BY3:BZ3"/>
    <mergeCell ref="CA3:CB3"/>
    <mergeCell ref="BS2:BT2"/>
    <mergeCell ref="BU2:BX2"/>
    <mergeCell ref="BY2:BZ2"/>
    <mergeCell ref="BI3:BN3"/>
    <mergeCell ref="AY2:BB2"/>
    <mergeCell ref="AO2:AR2"/>
    <mergeCell ref="CH2:CH4"/>
    <mergeCell ref="BC2:BD2"/>
    <mergeCell ref="BE2:BH2"/>
    <mergeCell ref="CA2:CB2"/>
    <mergeCell ref="BE3:BH3"/>
    <mergeCell ref="BO2:BR2"/>
    <mergeCell ref="AO3:AR3"/>
    <mergeCell ref="BO3:BR3"/>
    <mergeCell ref="AS3:AV3"/>
    <mergeCell ref="AW3:AX3"/>
    <mergeCell ref="AY3:BB3"/>
    <mergeCell ref="CG2:CG5"/>
    <mergeCell ref="CE2:CE5"/>
    <mergeCell ref="CF2:CF5"/>
    <mergeCell ref="AW2:AX2"/>
    <mergeCell ref="BC3:BD3"/>
  </mergeCells>
  <conditionalFormatting sqref="CF7:CG3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5748031496062992" top="0.11811023622047245" bottom="0.11811023622047245" header="0.15748031496062992" footer="0.15748031496062992"/>
  <pageSetup horizontalDpi="600" verticalDpi="600" orientation="landscape" paperSize="8" scale="95" r:id="rId3"/>
  <rowBreaks count="1" manualBreakCount="1">
    <brk id="39" max="255" man="1"/>
  </rowBreaks>
  <colBreaks count="3" manualBreakCount="3">
    <brk id="12" max="38" man="1"/>
    <brk id="24" max="38" man="1"/>
    <brk id="76" max="3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K10:M41"/>
  <sheetViews>
    <sheetView zoomScalePageLayoutView="0" workbookViewId="0" topLeftCell="A1">
      <selection activeCell="M42" sqref="M42"/>
    </sheetView>
  </sheetViews>
  <sheetFormatPr defaultColWidth="9.140625" defaultRowHeight="15"/>
  <cols>
    <col min="11" max="11" width="35.421875" style="0" bestFit="1" customWidth="1"/>
    <col min="12" max="12" width="5.00390625" style="0" bestFit="1" customWidth="1"/>
    <col min="13" max="13" width="3.00390625" style="0" bestFit="1" customWidth="1"/>
  </cols>
  <sheetData>
    <row r="10" spans="11:13" ht="14.25">
      <c r="K10" t="s">
        <v>115</v>
      </c>
      <c r="L10">
        <v>23</v>
      </c>
      <c r="M10">
        <v>1</v>
      </c>
    </row>
    <row r="11" spans="11:13" ht="14.25">
      <c r="K11" t="s">
        <v>111</v>
      </c>
      <c r="L11">
        <v>22.5</v>
      </c>
      <c r="M11">
        <v>2</v>
      </c>
    </row>
    <row r="12" spans="11:13" ht="14.25">
      <c r="K12" t="s">
        <v>126</v>
      </c>
      <c r="L12">
        <v>21.5</v>
      </c>
      <c r="M12">
        <v>3</v>
      </c>
    </row>
    <row r="13" spans="11:13" ht="14.25">
      <c r="K13" t="s">
        <v>128</v>
      </c>
      <c r="L13">
        <v>21</v>
      </c>
      <c r="M13">
        <v>4</v>
      </c>
    </row>
    <row r="14" spans="11:13" ht="14.25">
      <c r="K14" t="s">
        <v>113</v>
      </c>
      <c r="L14">
        <v>20</v>
      </c>
      <c r="M14">
        <v>5</v>
      </c>
    </row>
    <row r="15" spans="11:13" ht="14.25">
      <c r="K15" t="s">
        <v>122</v>
      </c>
      <c r="L15">
        <v>20</v>
      </c>
      <c r="M15">
        <v>5</v>
      </c>
    </row>
    <row r="16" spans="11:13" ht="14.25">
      <c r="K16" t="s">
        <v>110</v>
      </c>
      <c r="L16">
        <v>19</v>
      </c>
      <c r="M16">
        <v>6</v>
      </c>
    </row>
    <row r="17" spans="11:13" ht="14.25">
      <c r="K17" t="s">
        <v>112</v>
      </c>
      <c r="L17">
        <v>19</v>
      </c>
      <c r="M17">
        <v>6</v>
      </c>
    </row>
    <row r="18" spans="11:13" ht="14.25">
      <c r="K18" t="s">
        <v>116</v>
      </c>
      <c r="L18">
        <v>19</v>
      </c>
      <c r="M18">
        <v>6</v>
      </c>
    </row>
    <row r="19" spans="11:13" ht="14.25">
      <c r="K19" t="s">
        <v>124</v>
      </c>
      <c r="L19">
        <v>19</v>
      </c>
      <c r="M19">
        <v>6</v>
      </c>
    </row>
    <row r="20" spans="11:13" ht="14.25">
      <c r="K20" t="s">
        <v>127</v>
      </c>
      <c r="L20">
        <v>19</v>
      </c>
      <c r="M20">
        <v>6</v>
      </c>
    </row>
    <row r="21" spans="11:13" ht="14.25">
      <c r="K21" t="s">
        <v>106</v>
      </c>
      <c r="L21">
        <v>18.5</v>
      </c>
      <c r="M21">
        <v>7</v>
      </c>
    </row>
    <row r="22" spans="11:13" ht="14.25">
      <c r="K22" t="s">
        <v>117</v>
      </c>
      <c r="L22">
        <v>18</v>
      </c>
      <c r="M22">
        <v>8</v>
      </c>
    </row>
    <row r="23" spans="11:13" ht="14.25">
      <c r="K23" t="s">
        <v>119</v>
      </c>
      <c r="L23">
        <v>18</v>
      </c>
      <c r="M23">
        <v>8</v>
      </c>
    </row>
    <row r="24" spans="11:13" ht="14.25">
      <c r="K24" t="s">
        <v>123</v>
      </c>
      <c r="L24">
        <v>18</v>
      </c>
      <c r="M24">
        <v>8</v>
      </c>
    </row>
    <row r="25" spans="11:13" ht="14.25">
      <c r="K25" t="s">
        <v>129</v>
      </c>
      <c r="L25">
        <v>18</v>
      </c>
      <c r="M25">
        <v>8</v>
      </c>
    </row>
    <row r="26" spans="11:13" ht="14.25">
      <c r="K26" t="s">
        <v>131</v>
      </c>
      <c r="L26">
        <v>18</v>
      </c>
      <c r="M26">
        <v>8</v>
      </c>
    </row>
    <row r="27" spans="11:13" ht="14.25">
      <c r="K27" t="s">
        <v>135</v>
      </c>
      <c r="L27">
        <v>18</v>
      </c>
      <c r="M27">
        <v>8</v>
      </c>
    </row>
    <row r="28" spans="11:13" ht="14.25">
      <c r="K28" t="s">
        <v>109</v>
      </c>
      <c r="L28">
        <v>17.5</v>
      </c>
      <c r="M28">
        <v>9</v>
      </c>
    </row>
    <row r="29" spans="11:13" ht="14.25">
      <c r="K29" t="s">
        <v>114</v>
      </c>
      <c r="L29">
        <v>17.5</v>
      </c>
      <c r="M29">
        <v>9</v>
      </c>
    </row>
    <row r="30" spans="11:13" ht="14.25">
      <c r="K30" t="s">
        <v>132</v>
      </c>
      <c r="L30">
        <v>17.5</v>
      </c>
      <c r="M30">
        <v>9</v>
      </c>
    </row>
    <row r="31" spans="11:13" ht="14.25">
      <c r="K31" t="s">
        <v>136</v>
      </c>
      <c r="L31">
        <v>17.5</v>
      </c>
      <c r="M31">
        <v>9</v>
      </c>
    </row>
    <row r="32" spans="11:13" ht="14.25">
      <c r="K32" t="s">
        <v>137</v>
      </c>
      <c r="L32">
        <v>17.5</v>
      </c>
      <c r="M32">
        <v>9</v>
      </c>
    </row>
    <row r="33" spans="11:13" ht="14.25">
      <c r="K33" t="s">
        <v>107</v>
      </c>
      <c r="L33">
        <v>17</v>
      </c>
      <c r="M33">
        <v>10</v>
      </c>
    </row>
    <row r="34" spans="11:13" ht="14.25">
      <c r="K34" t="s">
        <v>118</v>
      </c>
      <c r="L34">
        <v>17</v>
      </c>
      <c r="M34">
        <v>10</v>
      </c>
    </row>
    <row r="35" spans="11:13" ht="14.25">
      <c r="K35" t="s">
        <v>120</v>
      </c>
      <c r="L35">
        <v>17</v>
      </c>
      <c r="M35">
        <v>10</v>
      </c>
    </row>
    <row r="36" spans="11:13" ht="14.25">
      <c r="K36" t="s">
        <v>121</v>
      </c>
      <c r="L36">
        <v>16.5</v>
      </c>
      <c r="M36">
        <v>11</v>
      </c>
    </row>
    <row r="37" spans="11:13" ht="14.25">
      <c r="K37" t="s">
        <v>125</v>
      </c>
      <c r="L37">
        <v>16.5</v>
      </c>
      <c r="M37">
        <v>11</v>
      </c>
    </row>
    <row r="38" spans="11:13" ht="14.25">
      <c r="K38" t="s">
        <v>133</v>
      </c>
      <c r="L38">
        <v>16.5</v>
      </c>
      <c r="M38">
        <v>11</v>
      </c>
    </row>
    <row r="39" spans="11:13" ht="14.25">
      <c r="K39" t="s">
        <v>134</v>
      </c>
      <c r="L39">
        <v>16.5</v>
      </c>
      <c r="M39">
        <v>11</v>
      </c>
    </row>
    <row r="40" spans="11:13" ht="14.25">
      <c r="K40" t="s">
        <v>130</v>
      </c>
      <c r="L40">
        <v>16</v>
      </c>
      <c r="M40">
        <v>12</v>
      </c>
    </row>
    <row r="41" spans="11:13" ht="14.25">
      <c r="K41" t="s">
        <v>108</v>
      </c>
      <c r="L41">
        <v>15.5</v>
      </c>
      <c r="M41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cp:lastPrinted>2021-06-30T07:52:14Z</cp:lastPrinted>
  <dcterms:created xsi:type="dcterms:W3CDTF">2019-09-11T06:52:20Z</dcterms:created>
  <dcterms:modified xsi:type="dcterms:W3CDTF">2022-07-14T14:29:09Z</dcterms:modified>
  <cp:category/>
  <cp:version/>
  <cp:contentType/>
  <cp:contentStatus/>
</cp:coreProperties>
</file>