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за 3 кв. нов" sheetId="1" r:id="rId1"/>
  </sheets>
  <externalReferences>
    <externalReference r:id="rId4"/>
  </externalReferences>
  <definedNames>
    <definedName name="_xlfn.BAHTTEXT" hidden="1">#NAME?</definedName>
    <definedName name="_xlnm.Print_Titles" localSheetId="0">'за 3 кв. нов'!$A:$A</definedName>
    <definedName name="_xlnm.Print_Area" localSheetId="0">'за 3 кв. нов'!$A$1:$AY$43</definedName>
  </definedNames>
  <calcPr fullCalcOnLoad="1"/>
</workbook>
</file>

<file path=xl/sharedStrings.xml><?xml version="1.0" encoding="utf-8"?>
<sst xmlns="http://schemas.openxmlformats.org/spreadsheetml/2006/main" count="134" uniqueCount="96">
  <si>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01.10.2016</t>
  </si>
  <si>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</si>
  <si>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</si>
  <si>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</si>
  <si>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</si>
  <si>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</si>
  <si>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</si>
  <si>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</si>
  <si>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</si>
  <si>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</si>
  <si>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</si>
  <si>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</si>
  <si>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</si>
  <si>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</si>
  <si>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</si>
  <si>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</si>
  <si>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</si>
  <si>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</si>
  <si>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</si>
  <si>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</si>
  <si>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</si>
  <si>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</si>
  <si>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</si>
  <si>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</si>
  <si>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</si>
  <si>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</si>
  <si>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</si>
  <si>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</si>
  <si>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</si>
  <si>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</si>
  <si>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</si>
  <si>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</si>
  <si>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</si>
  <si>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</si>
  <si>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</si>
  <si>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</si>
  <si>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</si>
  <si>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по утвержденному нормативу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</si>
  <si>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по утвержденному нормативу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</si>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</sst>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60" applyFont="1" applyAlignment="1">
      <alignment horizontal="center" wrapText="1"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60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0" fontId="22" fillId="37" borderId="20" xfId="0" applyFont="1" applyFill="1" applyBorder="1" applyAlignment="1">
      <alignment/>
    </xf>
    <xf numFmtId="0" fontId="22" fillId="37" borderId="21" xfId="0" applyFont="1" applyFill="1" applyBorder="1" applyAlignment="1">
      <alignment/>
    </xf>
    <xf numFmtId="0" fontId="22" fillId="37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7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18" fillId="38" borderId="26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8" fillId="40" borderId="26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 wrapText="1"/>
    </xf>
    <xf numFmtId="0" fontId="22" fillId="41" borderId="31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2" borderId="36" xfId="0" applyFont="1" applyFill="1" applyBorder="1" applyAlignment="1">
      <alignment horizontal="center"/>
    </xf>
    <xf numFmtId="0" fontId="27" fillId="42" borderId="31" xfId="0" applyFont="1" applyFill="1" applyBorder="1" applyAlignment="1">
      <alignment horizontal="center"/>
    </xf>
    <xf numFmtId="0" fontId="27" fillId="42" borderId="32" xfId="0" applyFont="1" applyFill="1" applyBorder="1" applyAlignment="1">
      <alignment horizontal="center"/>
    </xf>
    <xf numFmtId="0" fontId="27" fillId="42" borderId="37" xfId="0" applyFont="1" applyFill="1" applyBorder="1" applyAlignment="1">
      <alignment horizontal="center"/>
    </xf>
    <xf numFmtId="0" fontId="27" fillId="42" borderId="38" xfId="0" applyFont="1" applyFill="1" applyBorder="1" applyAlignment="1">
      <alignment horizontal="center"/>
    </xf>
    <xf numFmtId="0" fontId="22" fillId="42" borderId="31" xfId="0" applyFont="1" applyFill="1" applyBorder="1" applyAlignment="1">
      <alignment horizontal="center"/>
    </xf>
    <xf numFmtId="0" fontId="27" fillId="42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60" applyNumberFormat="1" applyFont="1" applyFill="1" applyBorder="1" applyAlignment="1">
      <alignment/>
    </xf>
    <xf numFmtId="164" fontId="22" fillId="0" borderId="40" xfId="60" applyNumberFormat="1" applyFont="1" applyBorder="1" applyAlignment="1">
      <alignment/>
    </xf>
    <xf numFmtId="166" fontId="18" fillId="0" borderId="41" xfId="60" applyNumberFormat="1" applyFont="1" applyBorder="1" applyAlignment="1">
      <alignment/>
    </xf>
    <xf numFmtId="166" fontId="18" fillId="0" borderId="19" xfId="60" applyNumberFormat="1" applyFont="1" applyBorder="1" applyAlignment="1">
      <alignment/>
    </xf>
    <xf numFmtId="167" fontId="22" fillId="0" borderId="42" xfId="60" applyNumberFormat="1" applyFont="1" applyBorder="1" applyAlignment="1">
      <alignment/>
    </xf>
    <xf numFmtId="165" fontId="18" fillId="33" borderId="40" xfId="60" applyNumberFormat="1" applyFont="1" applyFill="1" applyBorder="1" applyAlignment="1">
      <alignment/>
    </xf>
    <xf numFmtId="164" fontId="18" fillId="0" borderId="40" xfId="60" applyNumberFormat="1" applyFont="1" applyFill="1" applyBorder="1" applyAlignment="1">
      <alignment/>
    </xf>
    <xf numFmtId="4" fontId="18" fillId="0" borderId="41" xfId="60" applyNumberFormat="1" applyFont="1" applyFill="1" applyBorder="1" applyAlignment="1">
      <alignment/>
    </xf>
    <xf numFmtId="164" fontId="22" fillId="0" borderId="40" xfId="60" applyNumberFormat="1" applyFont="1" applyFill="1" applyBorder="1" applyAlignment="1">
      <alignment/>
    </xf>
    <xf numFmtId="165" fontId="18" fillId="0" borderId="43" xfId="60" applyNumberFormat="1" applyFont="1" applyFill="1" applyBorder="1" applyAlignment="1">
      <alignment/>
    </xf>
    <xf numFmtId="168" fontId="18" fillId="0" borderId="41" xfId="60" applyNumberFormat="1" applyFont="1" applyFill="1" applyBorder="1" applyAlignment="1">
      <alignment/>
    </xf>
    <xf numFmtId="169" fontId="18" fillId="0" borderId="19" xfId="60" applyNumberFormat="1" applyFont="1" applyFill="1" applyBorder="1" applyAlignment="1">
      <alignment/>
    </xf>
    <xf numFmtId="165" fontId="18" fillId="0" borderId="19" xfId="60" applyNumberFormat="1" applyFont="1" applyFill="1" applyBorder="1" applyAlignment="1">
      <alignment/>
    </xf>
    <xf numFmtId="165" fontId="18" fillId="0" borderId="19" xfId="60" applyNumberFormat="1" applyFont="1" applyBorder="1" applyAlignment="1">
      <alignment/>
    </xf>
    <xf numFmtId="170" fontId="22" fillId="0" borderId="19" xfId="60" applyNumberFormat="1" applyFont="1" applyBorder="1" applyAlignment="1">
      <alignment/>
    </xf>
    <xf numFmtId="167" fontId="18" fillId="0" borderId="41" xfId="60" applyNumberFormat="1" applyFont="1" applyFill="1" applyBorder="1" applyAlignment="1">
      <alignment/>
    </xf>
    <xf numFmtId="166" fontId="18" fillId="0" borderId="19" xfId="60" applyNumberFormat="1" applyFont="1" applyFill="1" applyBorder="1" applyAlignment="1">
      <alignment/>
    </xf>
    <xf numFmtId="167" fontId="22" fillId="0" borderId="42" xfId="60" applyNumberFormat="1" applyFont="1" applyFill="1" applyBorder="1" applyAlignment="1">
      <alignment/>
    </xf>
    <xf numFmtId="166" fontId="18" fillId="0" borderId="44" xfId="60" applyNumberFormat="1" applyFont="1" applyFill="1" applyBorder="1" applyAlignment="1">
      <alignment/>
    </xf>
    <xf numFmtId="171" fontId="22" fillId="0" borderId="19" xfId="60" applyNumberFormat="1" applyFont="1" applyBorder="1" applyAlignment="1">
      <alignment/>
    </xf>
    <xf numFmtId="167" fontId="18" fillId="0" borderId="41" xfId="60" applyNumberFormat="1" applyFont="1" applyBorder="1" applyAlignment="1">
      <alignment/>
    </xf>
    <xf numFmtId="172" fontId="22" fillId="0" borderId="19" xfId="60" applyNumberFormat="1" applyFont="1" applyBorder="1" applyAlignment="1">
      <alignment/>
    </xf>
    <xf numFmtId="167" fontId="22" fillId="0" borderId="45" xfId="60" applyNumberFormat="1" applyFont="1" applyBorder="1" applyAlignment="1">
      <alignment/>
    </xf>
    <xf numFmtId="0" fontId="18" fillId="43" borderId="46" xfId="0" applyFont="1" applyFill="1" applyBorder="1" applyAlignment="1">
      <alignment/>
    </xf>
    <xf numFmtId="165" fontId="18" fillId="43" borderId="40" xfId="60" applyNumberFormat="1" applyFont="1" applyFill="1" applyBorder="1" applyAlignment="1">
      <alignment/>
    </xf>
    <xf numFmtId="164" fontId="22" fillId="43" borderId="40" xfId="60" applyNumberFormat="1" applyFont="1" applyFill="1" applyBorder="1" applyAlignment="1">
      <alignment/>
    </xf>
    <xf numFmtId="166" fontId="18" fillId="43" borderId="41" xfId="60" applyNumberFormat="1" applyFont="1" applyFill="1" applyBorder="1" applyAlignment="1">
      <alignment/>
    </xf>
    <xf numFmtId="166" fontId="18" fillId="43" borderId="19" xfId="60" applyNumberFormat="1" applyFont="1" applyFill="1" applyBorder="1" applyAlignment="1">
      <alignment/>
    </xf>
    <xf numFmtId="167" fontId="22" fillId="43" borderId="42" xfId="60" applyNumberFormat="1" applyFont="1" applyFill="1" applyBorder="1" applyAlignment="1">
      <alignment/>
    </xf>
    <xf numFmtId="164" fontId="18" fillId="43" borderId="40" xfId="60" applyNumberFormat="1" applyFont="1" applyFill="1" applyBorder="1" applyAlignment="1">
      <alignment/>
    </xf>
    <xf numFmtId="4" fontId="18" fillId="43" borderId="41" xfId="60" applyNumberFormat="1" applyFont="1" applyFill="1" applyBorder="1" applyAlignment="1">
      <alignment/>
    </xf>
    <xf numFmtId="165" fontId="18" fillId="43" borderId="44" xfId="60" applyNumberFormat="1" applyFont="1" applyFill="1" applyBorder="1" applyAlignment="1">
      <alignment/>
    </xf>
    <xf numFmtId="168" fontId="18" fillId="43" borderId="41" xfId="60" applyNumberFormat="1" applyFont="1" applyFill="1" applyBorder="1" applyAlignment="1">
      <alignment/>
    </xf>
    <xf numFmtId="165" fontId="18" fillId="43" borderId="19" xfId="60" applyNumberFormat="1" applyFont="1" applyFill="1" applyBorder="1" applyAlignment="1">
      <alignment/>
    </xf>
    <xf numFmtId="170" fontId="22" fillId="43" borderId="19" xfId="60" applyNumberFormat="1" applyFont="1" applyFill="1" applyBorder="1" applyAlignment="1">
      <alignment/>
    </xf>
    <xf numFmtId="167" fontId="18" fillId="43" borderId="41" xfId="60" applyNumberFormat="1" applyFont="1" applyFill="1" applyBorder="1" applyAlignment="1">
      <alignment/>
    </xf>
    <xf numFmtId="167" fontId="18" fillId="43" borderId="19" xfId="60" applyNumberFormat="1" applyFont="1" applyFill="1" applyBorder="1" applyAlignment="1">
      <alignment/>
    </xf>
    <xf numFmtId="166" fontId="18" fillId="43" borderId="44" xfId="60" applyNumberFormat="1" applyFont="1" applyFill="1" applyBorder="1" applyAlignment="1">
      <alignment/>
    </xf>
    <xf numFmtId="171" fontId="22" fillId="43" borderId="19" xfId="60" applyNumberFormat="1" applyFont="1" applyFill="1" applyBorder="1" applyAlignment="1">
      <alignment/>
    </xf>
    <xf numFmtId="172" fontId="22" fillId="43" borderId="19" xfId="60" applyNumberFormat="1" applyFont="1" applyFill="1" applyBorder="1" applyAlignment="1">
      <alignment/>
    </xf>
    <xf numFmtId="167" fontId="22" fillId="43" borderId="45" xfId="6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60" applyNumberFormat="1" applyFont="1" applyFill="1" applyBorder="1" applyAlignment="1">
      <alignment/>
    </xf>
    <xf numFmtId="165" fontId="18" fillId="0" borderId="44" xfId="60" applyNumberFormat="1" applyFont="1" applyFill="1" applyBorder="1" applyAlignment="1">
      <alignment/>
    </xf>
    <xf numFmtId="167" fontId="22" fillId="0" borderId="45" xfId="60" applyNumberFormat="1" applyFont="1" applyFill="1" applyBorder="1" applyAlignment="1">
      <alignment/>
    </xf>
    <xf numFmtId="171" fontId="22" fillId="0" borderId="19" xfId="60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70" fontId="22" fillId="0" borderId="19" xfId="60" applyNumberFormat="1" applyFont="1" applyFill="1" applyBorder="1" applyAlignment="1">
      <alignment/>
    </xf>
    <xf numFmtId="167" fontId="18" fillId="0" borderId="19" xfId="60" applyNumberFormat="1" applyFont="1" applyFill="1" applyBorder="1" applyAlignment="1">
      <alignment/>
    </xf>
    <xf numFmtId="172" fontId="22" fillId="0" borderId="19" xfId="60" applyNumberFormat="1" applyFont="1" applyFill="1" applyBorder="1" applyAlignment="1">
      <alignment/>
    </xf>
    <xf numFmtId="0" fontId="0" fillId="44" borderId="0" xfId="0" applyFill="1" applyAlignment="1">
      <alignment/>
    </xf>
    <xf numFmtId="165" fontId="18" fillId="40" borderId="44" xfId="60" applyNumberFormat="1" applyFont="1" applyFill="1" applyBorder="1" applyAlignment="1">
      <alignment/>
    </xf>
    <xf numFmtId="165" fontId="18" fillId="0" borderId="40" xfId="60" applyNumberFormat="1" applyFont="1" applyBorder="1" applyAlignment="1">
      <alignment/>
    </xf>
    <xf numFmtId="164" fontId="18" fillId="0" borderId="40" xfId="60" applyNumberFormat="1" applyFont="1" applyBorder="1" applyAlignment="1">
      <alignment/>
    </xf>
    <xf numFmtId="165" fontId="18" fillId="0" borderId="44" xfId="60" applyNumberFormat="1" applyFont="1" applyBorder="1" applyAlignment="1">
      <alignment/>
    </xf>
    <xf numFmtId="170" fontId="22" fillId="33" borderId="19" xfId="60" applyNumberFormat="1" applyFont="1" applyFill="1" applyBorder="1" applyAlignment="1">
      <alignment/>
    </xf>
    <xf numFmtId="166" fontId="18" fillId="0" borderId="44" xfId="60" applyNumberFormat="1" applyFont="1" applyBorder="1" applyAlignment="1">
      <alignment/>
    </xf>
    <xf numFmtId="167" fontId="22" fillId="33" borderId="45" xfId="60" applyNumberFormat="1" applyFont="1" applyFill="1" applyBorder="1" applyAlignment="1">
      <alignment/>
    </xf>
    <xf numFmtId="165" fontId="18" fillId="0" borderId="47" xfId="60" applyNumberFormat="1" applyFont="1" applyBorder="1" applyAlignment="1">
      <alignment/>
    </xf>
    <xf numFmtId="0" fontId="22" fillId="42" borderId="48" xfId="0" applyFont="1" applyFill="1" applyBorder="1" applyAlignment="1" applyProtection="1">
      <alignment/>
      <protection/>
    </xf>
    <xf numFmtId="166" fontId="22" fillId="42" borderId="49" xfId="60" applyNumberFormat="1" applyFont="1" applyFill="1" applyBorder="1" applyAlignment="1">
      <alignment horizontal="center"/>
    </xf>
    <xf numFmtId="166" fontId="22" fillId="42" borderId="50" xfId="60" applyNumberFormat="1" applyFont="1" applyFill="1" applyBorder="1" applyAlignment="1">
      <alignment horizontal="center"/>
    </xf>
    <xf numFmtId="166" fontId="22" fillId="42" borderId="51" xfId="60" applyNumberFormat="1" applyFont="1" applyFill="1" applyBorder="1" applyAlignment="1">
      <alignment horizontal="center"/>
    </xf>
    <xf numFmtId="167" fontId="22" fillId="42" borderId="50" xfId="60" applyNumberFormat="1" applyFont="1" applyFill="1" applyBorder="1" applyAlignment="1">
      <alignment horizontal="center"/>
    </xf>
    <xf numFmtId="167" fontId="22" fillId="42" borderId="52" xfId="60" applyNumberFormat="1" applyFont="1" applyFill="1" applyBorder="1" applyAlignment="1">
      <alignment horizontal="center"/>
    </xf>
    <xf numFmtId="166" fontId="22" fillId="42" borderId="53" xfId="60" applyNumberFormat="1" applyFont="1" applyFill="1" applyBorder="1" applyAlignment="1">
      <alignment horizontal="center"/>
    </xf>
    <xf numFmtId="166" fontId="22" fillId="42" borderId="52" xfId="60" applyNumberFormat="1" applyFont="1" applyFill="1" applyBorder="1" applyAlignment="1">
      <alignment horizontal="center"/>
    </xf>
    <xf numFmtId="166" fontId="22" fillId="42" borderId="54" xfId="6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40" borderId="0" xfId="0" applyFill="1" applyAlignment="1">
      <alignment horizontal="left" vertical="center" indent="3"/>
    </xf>
    <xf numFmtId="164" fontId="0" fillId="40" borderId="0" xfId="0" applyNumberFormat="1" applyFill="1" applyAlignment="1">
      <alignment horizontal="left" vertical="center" indent="3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6\&#1084;&#1086;&#1085;&#1080;&#1090;&#1086;&#1088;&#1080;&#1085;&#1075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оконч)"/>
      <sheetName val="за 1 кв."/>
      <sheetName val="за 1 кв. (2)"/>
      <sheetName val="за 2 кв."/>
      <sheetName val="за 3 кв. нов"/>
      <sheetName val="за 4 кв. (2015 Р1 пл, ост факт)"/>
      <sheetName val="за 4 кв. (2015 Р1 пл, ост ф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tabSelected="1" view="pageBreakPreview" zoomScale="70" zoomScaleNormal="75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9" sqref="G19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16384" width="9.125" style="9" customWidth="1"/>
  </cols>
  <sheetData>
    <row r="1" spans="1:51" s="8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4"/>
      <c r="M1" s="4"/>
      <c r="N1" s="4"/>
      <c r="O1" s="1"/>
      <c r="P1" s="1"/>
      <c r="Q1" s="1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6"/>
      <c r="AO1" s="7"/>
      <c r="AP1" s="7"/>
      <c r="AQ1" s="6"/>
      <c r="AR1" s="1"/>
      <c r="AS1" s="6"/>
      <c r="AT1" s="6"/>
      <c r="AU1" s="7"/>
      <c r="AV1" s="7"/>
      <c r="AW1" s="6"/>
      <c r="AX1" s="1"/>
      <c r="AY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31" ht="13.5" thickBot="1">
      <c r="B3" s="10"/>
      <c r="C3" s="10"/>
      <c r="D3" s="10"/>
      <c r="E3" s="10"/>
      <c r="F3" s="10"/>
      <c r="G3" s="10"/>
      <c r="H3" s="10"/>
      <c r="I3" s="11"/>
      <c r="L3" s="11"/>
      <c r="M3" s="11"/>
      <c r="R3" s="11"/>
      <c r="AE3" s="11"/>
    </row>
    <row r="4" spans="1:51" ht="2.25" customHeight="1" thickTop="1">
      <c r="A4" s="12" t="s">
        <v>1</v>
      </c>
      <c r="B4" s="13"/>
      <c r="C4" s="14"/>
      <c r="D4" s="14"/>
      <c r="E4" s="14"/>
      <c r="F4" s="14"/>
      <c r="G4" s="14"/>
      <c r="H4" s="15"/>
      <c r="I4" s="16"/>
      <c r="J4" s="14"/>
      <c r="K4" s="14"/>
      <c r="L4" s="14"/>
      <c r="M4" s="14"/>
      <c r="N4" s="14"/>
      <c r="O4" s="14"/>
      <c r="P4" s="14"/>
      <c r="Q4" s="15"/>
      <c r="R4" s="16"/>
      <c r="S4" s="14"/>
      <c r="T4" s="14"/>
      <c r="U4" s="14"/>
      <c r="V4" s="14"/>
      <c r="W4" s="14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7"/>
      <c r="AM4" s="16"/>
      <c r="AN4" s="14"/>
      <c r="AO4" s="14"/>
      <c r="AP4" s="14"/>
      <c r="AQ4" s="14"/>
      <c r="AR4" s="17"/>
      <c r="AS4" s="16"/>
      <c r="AT4" s="14"/>
      <c r="AU4" s="14"/>
      <c r="AV4" s="14"/>
      <c r="AW4" s="14"/>
      <c r="AX4" s="17"/>
      <c r="AY4" s="18"/>
    </row>
    <row r="5" spans="1:51" ht="13.5" thickBot="1">
      <c r="A5" s="19"/>
      <c r="B5" s="20"/>
      <c r="C5" s="21"/>
      <c r="D5" s="21"/>
      <c r="E5" s="22" t="s">
        <v>2</v>
      </c>
      <c r="F5" s="23"/>
      <c r="G5" s="24"/>
      <c r="H5" s="25"/>
      <c r="I5" s="26"/>
      <c r="J5" s="21"/>
      <c r="K5" s="21"/>
      <c r="L5" s="27"/>
      <c r="M5" s="27"/>
      <c r="N5" s="22" t="s">
        <v>3</v>
      </c>
      <c r="O5" s="23"/>
      <c r="P5" s="24"/>
      <c r="Q5" s="25"/>
      <c r="R5" s="26"/>
      <c r="S5" s="21"/>
      <c r="T5" s="21"/>
      <c r="U5" s="22" t="s">
        <v>4</v>
      </c>
      <c r="V5" s="23"/>
      <c r="W5" s="24"/>
      <c r="X5" s="25"/>
      <c r="Y5" s="28"/>
      <c r="Z5" s="21"/>
      <c r="AA5" s="21"/>
      <c r="AB5" s="27"/>
      <c r="AC5" s="27"/>
      <c r="AD5" s="27"/>
      <c r="AE5" s="27"/>
      <c r="AF5" s="27"/>
      <c r="AG5" s="27"/>
      <c r="AH5" s="27"/>
      <c r="AI5" s="22" t="s">
        <v>5</v>
      </c>
      <c r="AJ5" s="23"/>
      <c r="AK5" s="24"/>
      <c r="AL5" s="29"/>
      <c r="AM5" s="26"/>
      <c r="AN5" s="21"/>
      <c r="AO5" s="22" t="s">
        <v>6</v>
      </c>
      <c r="AP5" s="23"/>
      <c r="AQ5" s="24"/>
      <c r="AR5" s="29"/>
      <c r="AS5" s="26"/>
      <c r="AT5" s="21"/>
      <c r="AU5" s="22" t="s">
        <v>7</v>
      </c>
      <c r="AV5" s="23"/>
      <c r="AW5" s="24"/>
      <c r="AX5" s="29"/>
      <c r="AY5" s="30"/>
    </row>
    <row r="6" spans="1:51" ht="159.75" customHeight="1" thickBot="1">
      <c r="A6" s="19"/>
      <c r="B6" s="31" t="s">
        <v>8</v>
      </c>
      <c r="C6" s="31" t="s">
        <v>9</v>
      </c>
      <c r="D6" s="31" t="s">
        <v>10</v>
      </c>
      <c r="E6" s="31" t="s">
        <v>11</v>
      </c>
      <c r="F6" s="32" t="s">
        <v>12</v>
      </c>
      <c r="G6" s="32" t="s">
        <v>13</v>
      </c>
      <c r="H6" s="33" t="s">
        <v>14</v>
      </c>
      <c r="I6" s="31" t="s">
        <v>15</v>
      </c>
      <c r="J6" s="31" t="s">
        <v>16</v>
      </c>
      <c r="K6" s="31" t="s">
        <v>17</v>
      </c>
      <c r="L6" s="31" t="s">
        <v>18</v>
      </c>
      <c r="M6" s="31" t="s">
        <v>19</v>
      </c>
      <c r="N6" s="31" t="s">
        <v>20</v>
      </c>
      <c r="O6" s="32" t="s">
        <v>12</v>
      </c>
      <c r="P6" s="32" t="s">
        <v>13</v>
      </c>
      <c r="Q6" s="33" t="s">
        <v>14</v>
      </c>
      <c r="R6" s="31" t="s">
        <v>21</v>
      </c>
      <c r="S6" s="31" t="s">
        <v>22</v>
      </c>
      <c r="T6" s="31" t="s">
        <v>23</v>
      </c>
      <c r="U6" s="31" t="s">
        <v>24</v>
      </c>
      <c r="V6" s="32" t="s">
        <v>12</v>
      </c>
      <c r="W6" s="32" t="s">
        <v>13</v>
      </c>
      <c r="X6" s="33" t="s">
        <v>14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1" t="s">
        <v>31</v>
      </c>
      <c r="AF6" s="34" t="s">
        <v>32</v>
      </c>
      <c r="AG6" s="34" t="s">
        <v>33</v>
      </c>
      <c r="AH6" s="34" t="s">
        <v>34</v>
      </c>
      <c r="AI6" s="31" t="s">
        <v>35</v>
      </c>
      <c r="AJ6" s="32" t="s">
        <v>12</v>
      </c>
      <c r="AK6" s="32" t="s">
        <v>13</v>
      </c>
      <c r="AL6" s="32" t="s">
        <v>14</v>
      </c>
      <c r="AM6" s="35" t="s">
        <v>36</v>
      </c>
      <c r="AN6" s="36" t="s">
        <v>37</v>
      </c>
      <c r="AO6" s="36" t="s">
        <v>38</v>
      </c>
      <c r="AP6" s="32" t="s">
        <v>12</v>
      </c>
      <c r="AQ6" s="32" t="s">
        <v>13</v>
      </c>
      <c r="AR6" s="32" t="s">
        <v>14</v>
      </c>
      <c r="AS6" s="37" t="s">
        <v>39</v>
      </c>
      <c r="AT6" s="36" t="s">
        <v>40</v>
      </c>
      <c r="AU6" s="36" t="s">
        <v>41</v>
      </c>
      <c r="AV6" s="32" t="s">
        <v>12</v>
      </c>
      <c r="AW6" s="32" t="s">
        <v>13</v>
      </c>
      <c r="AX6" s="32" t="s">
        <v>14</v>
      </c>
      <c r="AY6" s="38" t="s">
        <v>42</v>
      </c>
    </row>
    <row r="7" spans="1:51" ht="39.75" thickBot="1" thickTop="1">
      <c r="A7" s="39"/>
      <c r="B7" s="40" t="s">
        <v>43</v>
      </c>
      <c r="C7" s="40" t="s">
        <v>44</v>
      </c>
      <c r="D7" s="40" t="s">
        <v>45</v>
      </c>
      <c r="E7" s="40" t="s">
        <v>46</v>
      </c>
      <c r="F7" s="40" t="s">
        <v>47</v>
      </c>
      <c r="G7" s="40" t="s">
        <v>47</v>
      </c>
      <c r="H7" s="41">
        <v>1</v>
      </c>
      <c r="I7" s="40" t="s">
        <v>43</v>
      </c>
      <c r="J7" s="40" t="s">
        <v>44</v>
      </c>
      <c r="K7" s="40" t="s">
        <v>45</v>
      </c>
      <c r="L7" s="40" t="s">
        <v>48</v>
      </c>
      <c r="M7" s="40"/>
      <c r="N7" s="40" t="s">
        <v>49</v>
      </c>
      <c r="O7" s="42" t="s">
        <v>47</v>
      </c>
      <c r="P7" s="43" t="s">
        <v>50</v>
      </c>
      <c r="Q7" s="41">
        <v>1</v>
      </c>
      <c r="R7" s="40" t="s">
        <v>43</v>
      </c>
      <c r="S7" s="40" t="s">
        <v>44</v>
      </c>
      <c r="T7" s="40" t="s">
        <v>45</v>
      </c>
      <c r="U7" s="40" t="s">
        <v>51</v>
      </c>
      <c r="V7" s="40" t="s">
        <v>52</v>
      </c>
      <c r="W7" s="40" t="s">
        <v>52</v>
      </c>
      <c r="X7" s="41">
        <v>1</v>
      </c>
      <c r="Y7" s="40" t="s">
        <v>43</v>
      </c>
      <c r="Z7" s="40" t="s">
        <v>44</v>
      </c>
      <c r="AA7" s="40" t="s">
        <v>45</v>
      </c>
      <c r="AB7" s="40" t="s">
        <v>53</v>
      </c>
      <c r="AC7" s="40" t="s">
        <v>48</v>
      </c>
      <c r="AD7" s="40" t="s">
        <v>54</v>
      </c>
      <c r="AE7" s="40" t="s">
        <v>55</v>
      </c>
      <c r="AF7" s="44"/>
      <c r="AG7" s="44"/>
      <c r="AH7" s="44"/>
      <c r="AI7" s="40" t="s">
        <v>56</v>
      </c>
      <c r="AJ7" s="40" t="s">
        <v>57</v>
      </c>
      <c r="AK7" s="40" t="s">
        <v>58</v>
      </c>
      <c r="AL7" s="40">
        <v>1.5</v>
      </c>
      <c r="AM7" s="40" t="s">
        <v>43</v>
      </c>
      <c r="AN7" s="40" t="s">
        <v>44</v>
      </c>
      <c r="AO7" s="40" t="s">
        <v>59</v>
      </c>
      <c r="AP7" s="40" t="s">
        <v>47</v>
      </c>
      <c r="AQ7" s="40" t="s">
        <v>47</v>
      </c>
      <c r="AR7" s="40">
        <v>1</v>
      </c>
      <c r="AS7" s="40" t="s">
        <v>43</v>
      </c>
      <c r="AT7" s="40" t="s">
        <v>44</v>
      </c>
      <c r="AU7" s="40" t="s">
        <v>59</v>
      </c>
      <c r="AV7" s="40" t="s">
        <v>47</v>
      </c>
      <c r="AW7" s="40" t="s">
        <v>47</v>
      </c>
      <c r="AX7" s="40">
        <v>1</v>
      </c>
      <c r="AY7" s="45"/>
    </row>
    <row r="8" spans="1:51" ht="15" thickBot="1" thickTop="1">
      <c r="A8" s="46"/>
      <c r="B8" s="47"/>
      <c r="C8" s="48" t="s">
        <v>60</v>
      </c>
      <c r="D8" s="48"/>
      <c r="E8" s="48"/>
      <c r="F8" s="48"/>
      <c r="G8" s="48"/>
      <c r="H8" s="49"/>
      <c r="I8" s="50"/>
      <c r="J8" s="48"/>
      <c r="K8" s="48"/>
      <c r="L8" s="48"/>
      <c r="M8" s="48"/>
      <c r="N8" s="48"/>
      <c r="O8" s="48"/>
      <c r="P8" s="48"/>
      <c r="Q8" s="49"/>
      <c r="R8" s="50"/>
      <c r="S8" s="48"/>
      <c r="T8" s="48"/>
      <c r="U8" s="48"/>
      <c r="V8" s="48"/>
      <c r="W8" s="48"/>
      <c r="X8" s="49"/>
      <c r="Y8" s="51" t="s">
        <v>60</v>
      </c>
      <c r="Z8" s="48"/>
      <c r="AA8" s="48"/>
      <c r="AB8" s="48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50"/>
      <c r="AN8" s="48"/>
      <c r="AO8" s="48"/>
      <c r="AP8" s="48"/>
      <c r="AQ8" s="48"/>
      <c r="AR8" s="48"/>
      <c r="AS8" s="50"/>
      <c r="AT8" s="48"/>
      <c r="AU8" s="48"/>
      <c r="AV8" s="48"/>
      <c r="AW8" s="48"/>
      <c r="AX8" s="48"/>
      <c r="AY8" s="52"/>
    </row>
    <row r="9" spans="1:51" ht="14.25" thickBot="1" thickTop="1">
      <c r="A9" s="53"/>
      <c r="B9" s="54"/>
      <c r="C9" s="54"/>
      <c r="D9" s="54"/>
      <c r="E9" s="54"/>
      <c r="F9" s="54"/>
      <c r="G9" s="54"/>
      <c r="H9" s="55"/>
      <c r="I9" s="56"/>
      <c r="J9" s="54"/>
      <c r="K9" s="54"/>
      <c r="L9" s="54"/>
      <c r="M9" s="54"/>
      <c r="N9" s="54"/>
      <c r="O9" s="54"/>
      <c r="P9" s="54"/>
      <c r="Q9" s="55"/>
      <c r="R9" s="56"/>
      <c r="S9" s="54"/>
      <c r="T9" s="54"/>
      <c r="U9" s="54"/>
      <c r="V9" s="54"/>
      <c r="W9" s="54"/>
      <c r="X9" s="55"/>
      <c r="Y9" s="57"/>
      <c r="Z9" s="54"/>
      <c r="AA9" s="54"/>
      <c r="AB9" s="54"/>
      <c r="AC9" s="54"/>
      <c r="AD9" s="54"/>
      <c r="AE9" s="54"/>
      <c r="AF9" s="54"/>
      <c r="AG9" s="54"/>
      <c r="AH9" s="54"/>
      <c r="AI9" s="58" t="s">
        <v>61</v>
      </c>
      <c r="AJ9" s="54"/>
      <c r="AK9" s="54"/>
      <c r="AL9" s="54"/>
      <c r="AM9" s="56"/>
      <c r="AN9" s="54"/>
      <c r="AO9" s="54"/>
      <c r="AP9" s="54"/>
      <c r="AQ9" s="54"/>
      <c r="AR9" s="54"/>
      <c r="AS9" s="56"/>
      <c r="AT9" s="54"/>
      <c r="AU9" s="54"/>
      <c r="AV9" s="54"/>
      <c r="AW9" s="54"/>
      <c r="AX9" s="54"/>
      <c r="AY9" s="59"/>
    </row>
    <row r="10" spans="1:51" ht="13.5" thickTop="1">
      <c r="A10" s="60" t="s">
        <v>62</v>
      </c>
      <c r="B10" s="61">
        <v>1971153.0283599999</v>
      </c>
      <c r="C10" s="61">
        <v>201084.8629</v>
      </c>
      <c r="D10" s="61">
        <v>2001377</v>
      </c>
      <c r="E10" s="62">
        <f>IF(AND(B10=0,D10=0),0,B10/(IF(C10&gt;0,C10,0)+D10))</f>
        <v>0.8949771442419285</v>
      </c>
      <c r="F10" s="63">
        <f>IF(E10&lt;=1.05,1,0)</f>
        <v>1</v>
      </c>
      <c r="G10" s="64"/>
      <c r="H10" s="65">
        <f aca="true" t="shared" si="0" ref="H10:H42">F10+G10</f>
        <v>1</v>
      </c>
      <c r="I10" s="66">
        <v>2354544</v>
      </c>
      <c r="J10" s="67">
        <v>7380222.74707</v>
      </c>
      <c r="K10" s="68">
        <v>4612855.84707</v>
      </c>
      <c r="L10" s="66">
        <v>82647.571</v>
      </c>
      <c r="M10" s="61">
        <v>80000</v>
      </c>
      <c r="N10" s="69">
        <f>(I10-M10)/(J10-K10-L10)</f>
        <v>0.8472185436409172</v>
      </c>
      <c r="O10" s="63">
        <f aca="true" t="shared" si="1" ref="O10:O16">IF(N10&lt;=1,1,0)</f>
        <v>1</v>
      </c>
      <c r="P10" s="64"/>
      <c r="Q10" s="65">
        <f aca="true" t="shared" si="2" ref="Q10:Q42">O10+P10</f>
        <v>1</v>
      </c>
      <c r="R10" s="70">
        <v>279000</v>
      </c>
      <c r="S10" s="61">
        <v>7581307.609970001</v>
      </c>
      <c r="T10" s="71">
        <v>2331148.33607</v>
      </c>
      <c r="U10" s="62">
        <f aca="true" t="shared" si="3" ref="U10:U42">R10/(S10-T10)</f>
        <v>0.053141244949841134</v>
      </c>
      <c r="V10" s="63">
        <f aca="true" t="shared" si="4" ref="V10:V16">IF(U10&lt;=0.15,1,0)</f>
        <v>1</v>
      </c>
      <c r="W10" s="64"/>
      <c r="X10" s="65">
        <f>V10+W10</f>
        <v>1</v>
      </c>
      <c r="Y10" s="61">
        <f>C10</f>
        <v>201084.8629</v>
      </c>
      <c r="Z10" s="72">
        <v>192608</v>
      </c>
      <c r="AA10" s="73">
        <v>38700.834539999996</v>
      </c>
      <c r="AB10" s="74">
        <v>0</v>
      </c>
      <c r="AC10" s="74">
        <f aca="true" t="shared" si="5" ref="AC10:AE42">J10</f>
        <v>7380222.74707</v>
      </c>
      <c r="AD10" s="74">
        <f t="shared" si="5"/>
        <v>4612855.84707</v>
      </c>
      <c r="AE10" s="74">
        <f t="shared" si="5"/>
        <v>82647.571</v>
      </c>
      <c r="AF10" s="74">
        <f>AC10-AD10-AE10</f>
        <v>2684719.3289999994</v>
      </c>
      <c r="AG10" s="74">
        <f aca="true" t="shared" si="6" ref="AG10:AG16">AF10*10%</f>
        <v>268471.93289999996</v>
      </c>
      <c r="AH10" s="74">
        <f aca="true" t="shared" si="7" ref="AH10:AH15">IF(AA10&gt;0,AA10,0)+AG10+IF(AB10&gt;0,AB10,0)</f>
        <v>307172.76743999997</v>
      </c>
      <c r="AI10" s="75">
        <f>IF((Y10-IF(Z10&gt;0,Z10,0)-IF(AA10&gt;0,AA10,0)-IF(AB10&gt;0,AB10,0))/(AC10-AD10-AE10)&gt;0,(Y10-IF(Z10&gt;0,Z10,0)-IF(AA10&gt;0,AA10,0)-IF(AB10&gt;0,AB10,0))/(AC10-AD10-AE10),0)</f>
        <v>0</v>
      </c>
      <c r="AJ10" s="76">
        <f>IF(AI10&lt;=0.105,1.5,0)</f>
        <v>1.5</v>
      </c>
      <c r="AK10" s="77"/>
      <c r="AL10" s="78">
        <f aca="true" t="shared" si="8" ref="AL10:AL42">AJ10+AK10</f>
        <v>1.5</v>
      </c>
      <c r="AM10" s="79">
        <v>187466.6</v>
      </c>
      <c r="AN10" s="77">
        <v>224269</v>
      </c>
      <c r="AO10" s="80">
        <f aca="true" t="shared" si="9" ref="AO10:AO42">AM10/AN10</f>
        <v>0.8359006371812422</v>
      </c>
      <c r="AP10" s="81">
        <f>IF(AO10&lt;=1.005,1,0)</f>
        <v>1</v>
      </c>
      <c r="AQ10" s="64"/>
      <c r="AR10" s="82">
        <f>AP10+AQ10</f>
        <v>1</v>
      </c>
      <c r="AS10" s="79">
        <v>371564</v>
      </c>
      <c r="AT10" s="77">
        <v>408720</v>
      </c>
      <c r="AU10" s="80">
        <f aca="true" t="shared" si="10" ref="AU10:AU42">AS10/AT10</f>
        <v>0.9090917987864553</v>
      </c>
      <c r="AV10" s="81">
        <f>IF(AU10&lt;=1.005,1,0)</f>
        <v>1</v>
      </c>
      <c r="AW10" s="64"/>
      <c r="AX10" s="82">
        <f aca="true" t="shared" si="11" ref="AX10:AX42">AV10+AW10</f>
        <v>1</v>
      </c>
      <c r="AY10" s="83">
        <f>H10+Q10+X10+AL10+AR10+AX10</f>
        <v>6.5</v>
      </c>
    </row>
    <row r="11" spans="1:52" ht="12.75">
      <c r="A11" s="84" t="s">
        <v>63</v>
      </c>
      <c r="B11" s="85">
        <v>16000</v>
      </c>
      <c r="C11" s="85">
        <v>1398.77748</v>
      </c>
      <c r="D11" s="85">
        <v>16000</v>
      </c>
      <c r="E11" s="86">
        <f aca="true" t="shared" si="12" ref="E11:E42">IF(AND(B11=0,D11=0),0,B11/(IF(C11&gt;0,C11,0)+D11))</f>
        <v>0.9196048411097903</v>
      </c>
      <c r="F11" s="87"/>
      <c r="G11" s="88">
        <f>IF(E11&lt;=1.05,1,0)</f>
        <v>1</v>
      </c>
      <c r="H11" s="89">
        <f t="shared" si="0"/>
        <v>1</v>
      </c>
      <c r="I11" s="85">
        <v>27620</v>
      </c>
      <c r="J11" s="90">
        <v>691595.4981</v>
      </c>
      <c r="K11" s="91">
        <v>493121.26466000004</v>
      </c>
      <c r="L11" s="85">
        <v>134018.625</v>
      </c>
      <c r="M11" s="85">
        <v>11620</v>
      </c>
      <c r="N11" s="86">
        <f>(I11-M11)/(J11-K11-L11)</f>
        <v>0.24823285959504968</v>
      </c>
      <c r="O11" s="87"/>
      <c r="P11" s="88">
        <f>IF(N11&lt;=0.5,1,0)</f>
        <v>1</v>
      </c>
      <c r="Q11" s="89">
        <f t="shared" si="2"/>
        <v>1</v>
      </c>
      <c r="R11" s="92">
        <v>2467</v>
      </c>
      <c r="S11" s="85">
        <v>692994.27558</v>
      </c>
      <c r="T11" s="93">
        <v>375741.32528</v>
      </c>
      <c r="U11" s="86">
        <f t="shared" si="3"/>
        <v>0.007776129418708829</v>
      </c>
      <c r="V11" s="87"/>
      <c r="W11" s="88">
        <f>IF(U11&lt;=0.15,1,0)</f>
        <v>1</v>
      </c>
      <c r="X11" s="89">
        <f aca="true" t="shared" si="13" ref="X11:X42">V11+W11</f>
        <v>1</v>
      </c>
      <c r="Y11" s="85">
        <f aca="true" t="shared" si="14" ref="Y11:Y42">C11</f>
        <v>1398.77748</v>
      </c>
      <c r="Z11" s="94">
        <v>0</v>
      </c>
      <c r="AA11" s="94">
        <v>1398.77748</v>
      </c>
      <c r="AB11" s="94">
        <v>0</v>
      </c>
      <c r="AC11" s="94">
        <f t="shared" si="5"/>
        <v>691595.4981</v>
      </c>
      <c r="AD11" s="94">
        <f t="shared" si="5"/>
        <v>493121.26466000004</v>
      </c>
      <c r="AE11" s="94">
        <f t="shared" si="5"/>
        <v>134018.625</v>
      </c>
      <c r="AF11" s="94">
        <f aca="true" t="shared" si="15" ref="AF11:AF42">AC11-AD11-AE11</f>
        <v>64455.60843999992</v>
      </c>
      <c r="AG11" s="94">
        <f>AF11*5%</f>
        <v>3222.780421999996</v>
      </c>
      <c r="AH11" s="94">
        <f t="shared" si="7"/>
        <v>4621.557901999996</v>
      </c>
      <c r="AI11" s="95">
        <f>IF((Y11-IF(Z11&gt;0,Z11,0)-IF(AA11&gt;0,AA11,0)-IF(AB11&gt;0,AB11,0))/(AC11-AD11-AE11)&gt;0,(Y11-IF(Z11&gt;0,Z11,0)-IF(AA11&gt;0,AA11,0)-IF(AB11&gt;0,AB11,0))/(AC11-AD11-AE11),0)</f>
        <v>0</v>
      </c>
      <c r="AJ11" s="96"/>
      <c r="AK11" s="97">
        <f>IF(AI11&lt;=0.055,1.5,0)</f>
        <v>1.5</v>
      </c>
      <c r="AL11" s="89">
        <f t="shared" si="8"/>
        <v>1.5</v>
      </c>
      <c r="AM11" s="98">
        <v>26067</v>
      </c>
      <c r="AN11" s="88">
        <v>26067</v>
      </c>
      <c r="AO11" s="99">
        <f t="shared" si="9"/>
        <v>1</v>
      </c>
      <c r="AP11" s="96"/>
      <c r="AQ11" s="97">
        <f>IF(AO11&lt;=1.005,1,0)</f>
        <v>1</v>
      </c>
      <c r="AR11" s="100">
        <f aca="true" t="shared" si="16" ref="AR11:AR42">AP11+AQ11</f>
        <v>1</v>
      </c>
      <c r="AS11" s="98">
        <v>61122.4</v>
      </c>
      <c r="AT11" s="88">
        <v>64041</v>
      </c>
      <c r="AU11" s="99">
        <f t="shared" si="10"/>
        <v>0.9544260707983948</v>
      </c>
      <c r="AV11" s="96"/>
      <c r="AW11" s="97">
        <f>IF(AU11&lt;=1.005,1,0)</f>
        <v>1</v>
      </c>
      <c r="AX11" s="100">
        <f t="shared" si="11"/>
        <v>1</v>
      </c>
      <c r="AY11" s="101">
        <f aca="true" t="shared" si="17" ref="AY11:AY42">H11+Q11+X11+AL11+AR11+AX11</f>
        <v>6.5</v>
      </c>
      <c r="AZ11" s="11"/>
    </row>
    <row r="12" spans="1:52" ht="12.75">
      <c r="A12" s="102" t="s">
        <v>64</v>
      </c>
      <c r="B12" s="61">
        <v>159600</v>
      </c>
      <c r="C12" s="61">
        <v>16708.57586</v>
      </c>
      <c r="D12" s="61">
        <v>149600</v>
      </c>
      <c r="E12" s="62">
        <f t="shared" si="12"/>
        <v>0.9596618765730557</v>
      </c>
      <c r="F12" s="103">
        <f aca="true" t="shared" si="18" ref="F12:F17">IF(E12&lt;=1.05,1,0)</f>
        <v>1</v>
      </c>
      <c r="G12" s="64"/>
      <c r="H12" s="65">
        <f t="shared" si="0"/>
        <v>1</v>
      </c>
      <c r="I12" s="66">
        <v>94800</v>
      </c>
      <c r="J12" s="67">
        <v>1042362.3629099999</v>
      </c>
      <c r="K12" s="68">
        <v>713679.15933</v>
      </c>
      <c r="L12" s="66">
        <v>109573.424</v>
      </c>
      <c r="M12" s="66"/>
      <c r="N12" s="62">
        <f aca="true" t="shared" si="19" ref="N12:N41">(I12-M12)/(J12-K12-L12)</f>
        <v>0.432659830071105</v>
      </c>
      <c r="O12" s="63">
        <f t="shared" si="1"/>
        <v>1</v>
      </c>
      <c r="P12" s="64"/>
      <c r="Q12" s="65">
        <f t="shared" si="2"/>
        <v>1</v>
      </c>
      <c r="R12" s="104">
        <v>13822.584</v>
      </c>
      <c r="S12" s="61">
        <v>1059070.93877</v>
      </c>
      <c r="T12" s="71">
        <v>360508.27657</v>
      </c>
      <c r="U12" s="62">
        <f t="shared" si="3"/>
        <v>0.019787178370610604</v>
      </c>
      <c r="V12" s="63">
        <f t="shared" si="4"/>
        <v>1</v>
      </c>
      <c r="W12" s="64"/>
      <c r="X12" s="65">
        <f t="shared" si="13"/>
        <v>1</v>
      </c>
      <c r="Y12" s="61">
        <f t="shared" si="14"/>
        <v>16708.57586</v>
      </c>
      <c r="Z12" s="73">
        <v>0</v>
      </c>
      <c r="AA12" s="73">
        <v>6708.57586</v>
      </c>
      <c r="AB12" s="74">
        <v>0</v>
      </c>
      <c r="AC12" s="74">
        <f t="shared" si="5"/>
        <v>1042362.3629099999</v>
      </c>
      <c r="AD12" s="74">
        <f t="shared" si="5"/>
        <v>713679.15933</v>
      </c>
      <c r="AE12" s="74">
        <f t="shared" si="5"/>
        <v>109573.424</v>
      </c>
      <c r="AF12" s="74">
        <f t="shared" si="15"/>
        <v>219109.77957999986</v>
      </c>
      <c r="AG12" s="74">
        <f t="shared" si="6"/>
        <v>21910.97795799999</v>
      </c>
      <c r="AH12" s="74">
        <f t="shared" si="7"/>
        <v>28619.55381799999</v>
      </c>
      <c r="AI12" s="75">
        <f>IF((Y12-IF(Z12&gt;0,Z12,0)-IF(AA12&gt;0,AA12,0)-IF(AB12&gt;0,AB12,0))/(AC12-AD12-AE12)&gt;0,(Y12-IF(Z12&gt;0,Z12,0)-IF(AA12&gt;0,AA12,0)-IF(AB12&gt;0,AB12,0))/(AC12-AD12-AE12),0)</f>
        <v>0.045639222581340184</v>
      </c>
      <c r="AJ12" s="76">
        <f aca="true" t="shared" si="20" ref="AJ12:AJ17">IF(AI12&lt;=0.105,1.5,0)</f>
        <v>1.5</v>
      </c>
      <c r="AK12" s="64"/>
      <c r="AL12" s="65">
        <f t="shared" si="8"/>
        <v>1.5</v>
      </c>
      <c r="AM12" s="79">
        <v>29134.5</v>
      </c>
      <c r="AN12" s="77">
        <v>29784</v>
      </c>
      <c r="AO12" s="80">
        <f t="shared" si="9"/>
        <v>0.978192989524577</v>
      </c>
      <c r="AP12" s="81">
        <f aca="true" t="shared" si="21" ref="AP12:AP17">IF(AO12&lt;=1.005,1,0)</f>
        <v>1</v>
      </c>
      <c r="AQ12" s="64"/>
      <c r="AR12" s="82">
        <f t="shared" si="16"/>
        <v>1</v>
      </c>
      <c r="AS12" s="79">
        <v>65234</v>
      </c>
      <c r="AT12" s="77">
        <v>65390</v>
      </c>
      <c r="AU12" s="80">
        <f t="shared" si="10"/>
        <v>0.9976143141153081</v>
      </c>
      <c r="AV12" s="81">
        <f aca="true" t="shared" si="22" ref="AV12:AV17">IF(AU12&lt;=1.005,1,0)</f>
        <v>1</v>
      </c>
      <c r="AW12" s="64"/>
      <c r="AX12" s="82">
        <f t="shared" si="11"/>
        <v>1</v>
      </c>
      <c r="AY12" s="105">
        <f t="shared" si="17"/>
        <v>6.5</v>
      </c>
      <c r="AZ12" s="11"/>
    </row>
    <row r="13" spans="1:52" ht="12.75">
      <c r="A13" s="102" t="s">
        <v>65</v>
      </c>
      <c r="B13" s="61">
        <v>35000</v>
      </c>
      <c r="C13" s="61">
        <v>15890.22275</v>
      </c>
      <c r="D13" s="61">
        <v>30000</v>
      </c>
      <c r="E13" s="62">
        <f t="shared" si="12"/>
        <v>0.7626896951595207</v>
      </c>
      <c r="F13" s="63">
        <f t="shared" si="18"/>
        <v>1</v>
      </c>
      <c r="G13" s="64"/>
      <c r="H13" s="65">
        <f t="shared" si="0"/>
        <v>1</v>
      </c>
      <c r="I13" s="66">
        <v>32000</v>
      </c>
      <c r="J13" s="67">
        <v>559697.7588899999</v>
      </c>
      <c r="K13" s="68">
        <v>287297.75889</v>
      </c>
      <c r="L13" s="66">
        <v>75305.854</v>
      </c>
      <c r="M13" s="66"/>
      <c r="N13" s="62">
        <f t="shared" si="19"/>
        <v>0.1623589571249874</v>
      </c>
      <c r="O13" s="63">
        <f t="shared" si="1"/>
        <v>1</v>
      </c>
      <c r="P13" s="64"/>
      <c r="Q13" s="65">
        <f t="shared" si="2"/>
        <v>1</v>
      </c>
      <c r="R13" s="104">
        <v>4115</v>
      </c>
      <c r="S13" s="61">
        <v>575587.98164</v>
      </c>
      <c r="T13" s="71">
        <v>214291.9469</v>
      </c>
      <c r="U13" s="62">
        <f t="shared" si="3"/>
        <v>0.011389552069015325</v>
      </c>
      <c r="V13" s="63">
        <f t="shared" si="4"/>
        <v>1</v>
      </c>
      <c r="W13" s="64"/>
      <c r="X13" s="65">
        <f t="shared" si="13"/>
        <v>1</v>
      </c>
      <c r="Y13" s="61">
        <f t="shared" si="14"/>
        <v>15890.22275</v>
      </c>
      <c r="Z13" s="73">
        <v>0</v>
      </c>
      <c r="AA13" s="73">
        <v>10890.22275</v>
      </c>
      <c r="AB13" s="74">
        <v>0</v>
      </c>
      <c r="AC13" s="74">
        <f t="shared" si="5"/>
        <v>559697.7588899999</v>
      </c>
      <c r="AD13" s="74">
        <f t="shared" si="5"/>
        <v>287297.75889</v>
      </c>
      <c r="AE13" s="74">
        <f t="shared" si="5"/>
        <v>75305.854</v>
      </c>
      <c r="AF13" s="74">
        <f t="shared" si="15"/>
        <v>197094.14599999995</v>
      </c>
      <c r="AG13" s="74">
        <f t="shared" si="6"/>
        <v>19709.414599999996</v>
      </c>
      <c r="AH13" s="74">
        <f t="shared" si="7"/>
        <v>30599.637349999997</v>
      </c>
      <c r="AI13" s="75">
        <f>IF((Y13-IF(Z13&gt;0,Z13,0)-IF(AA13&gt;0,AA13,0)-IF(AB13&gt;0,AB13,0))/(AC13-AD13-AE13)&gt;0,(Y13-IF(Z13&gt;0,Z13,0)-IF(AA13&gt;0,AA13,0)-IF(AB13&gt;0,AB13,0))/(AC13-AD13-AE13),0)</f>
        <v>0.02536858705077928</v>
      </c>
      <c r="AJ13" s="76">
        <f t="shared" si="20"/>
        <v>1.5</v>
      </c>
      <c r="AK13" s="64"/>
      <c r="AL13" s="65">
        <f t="shared" si="8"/>
        <v>1.5</v>
      </c>
      <c r="AM13" s="79">
        <v>17052</v>
      </c>
      <c r="AN13" s="77">
        <v>17052</v>
      </c>
      <c r="AO13" s="106">
        <f t="shared" si="9"/>
        <v>1</v>
      </c>
      <c r="AP13" s="81">
        <f t="shared" si="21"/>
        <v>1</v>
      </c>
      <c r="AQ13" s="64"/>
      <c r="AR13" s="82">
        <f t="shared" si="16"/>
        <v>1</v>
      </c>
      <c r="AS13" s="79">
        <v>37451.3</v>
      </c>
      <c r="AT13" s="77">
        <v>39198</v>
      </c>
      <c r="AU13" s="106">
        <f t="shared" si="10"/>
        <v>0.9554390530129089</v>
      </c>
      <c r="AV13" s="81">
        <f t="shared" si="22"/>
        <v>1</v>
      </c>
      <c r="AW13" s="64"/>
      <c r="AX13" s="82">
        <f t="shared" si="11"/>
        <v>1</v>
      </c>
      <c r="AY13" s="105">
        <f t="shared" si="17"/>
        <v>6.5</v>
      </c>
      <c r="AZ13" s="11"/>
    </row>
    <row r="14" spans="1:51" s="11" customFormat="1" ht="12.75">
      <c r="A14" s="107" t="s">
        <v>66</v>
      </c>
      <c r="B14" s="61">
        <v>3500</v>
      </c>
      <c r="C14" s="61">
        <v>14526.83067</v>
      </c>
      <c r="D14" s="61">
        <v>0</v>
      </c>
      <c r="E14" s="69">
        <f t="shared" si="12"/>
        <v>0.24093348917654867</v>
      </c>
      <c r="F14" s="63">
        <f t="shared" si="18"/>
        <v>1</v>
      </c>
      <c r="G14" s="77"/>
      <c r="H14" s="78">
        <f t="shared" si="0"/>
        <v>1</v>
      </c>
      <c r="I14" s="61">
        <v>0</v>
      </c>
      <c r="J14" s="67">
        <v>229824.93634000001</v>
      </c>
      <c r="K14" s="68">
        <v>147970.39134</v>
      </c>
      <c r="L14" s="61">
        <v>33185.997</v>
      </c>
      <c r="M14" s="61"/>
      <c r="N14" s="69">
        <f t="shared" si="19"/>
        <v>0</v>
      </c>
      <c r="O14" s="63">
        <f t="shared" si="1"/>
        <v>1</v>
      </c>
      <c r="P14" s="77"/>
      <c r="Q14" s="78">
        <f t="shared" si="2"/>
        <v>1</v>
      </c>
      <c r="R14" s="104">
        <v>65.793</v>
      </c>
      <c r="S14" s="61">
        <v>244351.76700999998</v>
      </c>
      <c r="T14" s="71">
        <v>100349.99981000001</v>
      </c>
      <c r="U14" s="69">
        <f t="shared" si="3"/>
        <v>0.00045689022627494545</v>
      </c>
      <c r="V14" s="63">
        <f t="shared" si="4"/>
        <v>1</v>
      </c>
      <c r="W14" s="77"/>
      <c r="X14" s="78">
        <f t="shared" si="13"/>
        <v>1</v>
      </c>
      <c r="Y14" s="61">
        <f t="shared" si="14"/>
        <v>14526.83067</v>
      </c>
      <c r="Z14" s="73">
        <v>0</v>
      </c>
      <c r="AA14" s="73">
        <v>11026.83067</v>
      </c>
      <c r="AB14" s="73">
        <v>0</v>
      </c>
      <c r="AC14" s="73">
        <f t="shared" si="5"/>
        <v>229824.93634000001</v>
      </c>
      <c r="AD14" s="73">
        <f t="shared" si="5"/>
        <v>147970.39134</v>
      </c>
      <c r="AE14" s="73">
        <f t="shared" si="5"/>
        <v>33185.997</v>
      </c>
      <c r="AF14" s="73">
        <f t="shared" si="15"/>
        <v>48668.54800000001</v>
      </c>
      <c r="AG14" s="74">
        <f t="shared" si="6"/>
        <v>4866.854800000001</v>
      </c>
      <c r="AH14" s="73">
        <f t="shared" si="7"/>
        <v>15893.68547</v>
      </c>
      <c r="AI14" s="108">
        <f>IF((Y14-IF(Z14&gt;0,Z14,0)-IF(AA14&gt;0,AA14,0)-IF(AB14&gt;0,AB14,0))/(AC14-AD14-AE14)&gt;0,(Y14-IF(Z14&gt;0,Z14,0)-IF(AA14&gt;0,AA14,0)-IF(AB14&gt;0,AB14,0))/(AC14-AD14-AE14),0)</f>
        <v>0.07191502816151407</v>
      </c>
      <c r="AJ14" s="76">
        <f t="shared" si="20"/>
        <v>1.5</v>
      </c>
      <c r="AK14" s="109"/>
      <c r="AL14" s="78">
        <f t="shared" si="8"/>
        <v>1.5</v>
      </c>
      <c r="AM14" s="79">
        <v>9094</v>
      </c>
      <c r="AN14" s="77">
        <v>9094</v>
      </c>
      <c r="AO14" s="106">
        <f t="shared" si="9"/>
        <v>1</v>
      </c>
      <c r="AP14" s="81">
        <f t="shared" si="21"/>
        <v>1</v>
      </c>
      <c r="AQ14" s="109"/>
      <c r="AR14" s="110">
        <f t="shared" si="16"/>
        <v>1</v>
      </c>
      <c r="AS14" s="79">
        <v>21283.3</v>
      </c>
      <c r="AT14" s="77">
        <v>22028</v>
      </c>
      <c r="AU14" s="106">
        <f t="shared" si="10"/>
        <v>0.9661930270564736</v>
      </c>
      <c r="AV14" s="81">
        <f t="shared" si="22"/>
        <v>1</v>
      </c>
      <c r="AW14" s="109"/>
      <c r="AX14" s="110">
        <f t="shared" si="11"/>
        <v>1</v>
      </c>
      <c r="AY14" s="105">
        <f t="shared" si="17"/>
        <v>6.5</v>
      </c>
    </row>
    <row r="15" spans="1:51" s="11" customFormat="1" ht="12.75">
      <c r="A15" s="107" t="s">
        <v>67</v>
      </c>
      <c r="B15" s="61">
        <v>1965</v>
      </c>
      <c r="C15" s="61">
        <v>3445.7124</v>
      </c>
      <c r="D15" s="61">
        <v>0</v>
      </c>
      <c r="E15" s="69">
        <f t="shared" si="12"/>
        <v>0.5702739439310142</v>
      </c>
      <c r="F15" s="63">
        <f t="shared" si="18"/>
        <v>1</v>
      </c>
      <c r="G15" s="77"/>
      <c r="H15" s="78">
        <f t="shared" si="0"/>
        <v>1</v>
      </c>
      <c r="I15" s="61">
        <v>0</v>
      </c>
      <c r="J15" s="67">
        <v>261425.50506</v>
      </c>
      <c r="K15" s="68">
        <v>192316.30506</v>
      </c>
      <c r="L15" s="61">
        <v>44637.664</v>
      </c>
      <c r="M15" s="61"/>
      <c r="N15" s="69">
        <f t="shared" si="19"/>
        <v>0</v>
      </c>
      <c r="O15" s="63">
        <f t="shared" si="1"/>
        <v>1</v>
      </c>
      <c r="P15" s="77"/>
      <c r="Q15" s="78">
        <f t="shared" si="2"/>
        <v>1</v>
      </c>
      <c r="R15" s="104">
        <v>0</v>
      </c>
      <c r="S15" s="61">
        <v>264871.21746</v>
      </c>
      <c r="T15" s="71">
        <v>131184.70979</v>
      </c>
      <c r="U15" s="69">
        <f t="shared" si="3"/>
        <v>0</v>
      </c>
      <c r="V15" s="63">
        <f t="shared" si="4"/>
        <v>1</v>
      </c>
      <c r="W15" s="77"/>
      <c r="X15" s="78">
        <f t="shared" si="13"/>
        <v>1</v>
      </c>
      <c r="Y15" s="61">
        <f t="shared" si="14"/>
        <v>3445.7124</v>
      </c>
      <c r="Z15" s="73">
        <v>0</v>
      </c>
      <c r="AA15" s="73">
        <v>1480.7124</v>
      </c>
      <c r="AB15" s="73">
        <v>0</v>
      </c>
      <c r="AC15" s="73">
        <f t="shared" si="5"/>
        <v>261425.50506</v>
      </c>
      <c r="AD15" s="73">
        <f t="shared" si="5"/>
        <v>192316.30506</v>
      </c>
      <c r="AE15" s="73">
        <f t="shared" si="5"/>
        <v>44637.664</v>
      </c>
      <c r="AF15" s="73">
        <f t="shared" si="15"/>
        <v>24471.535999999986</v>
      </c>
      <c r="AG15" s="74">
        <f t="shared" si="6"/>
        <v>2447.1535999999987</v>
      </c>
      <c r="AH15" s="73">
        <f t="shared" si="7"/>
        <v>3927.8659999999986</v>
      </c>
      <c r="AI15" s="108">
        <f aca="true" t="shared" si="23" ref="AI15:AI42">IF((Y15-IF(Z15&gt;0,Z15,0)-IF(AA15&gt;0,AA15,0)-IF(AB15&gt;0,AB15,0))/(AC15-AD15-AE15)&gt;0,(Y15-IF(Z15&gt;0,Z15,0)-IF(AA15&gt;0,AA15,0)-IF(AB15&gt;0,AB15,0))/(AC15-AD15-AE15),0)</f>
        <v>0.08029737079029291</v>
      </c>
      <c r="AJ15" s="76">
        <f t="shared" si="20"/>
        <v>1.5</v>
      </c>
      <c r="AK15" s="109"/>
      <c r="AL15" s="78">
        <f t="shared" si="8"/>
        <v>1.5</v>
      </c>
      <c r="AM15" s="79">
        <v>11618.7</v>
      </c>
      <c r="AN15" s="77">
        <v>11794</v>
      </c>
      <c r="AO15" s="106">
        <f t="shared" si="9"/>
        <v>0.9851365100898762</v>
      </c>
      <c r="AP15" s="81">
        <f t="shared" si="21"/>
        <v>1</v>
      </c>
      <c r="AQ15" s="109"/>
      <c r="AR15" s="110">
        <f t="shared" si="16"/>
        <v>1</v>
      </c>
      <c r="AS15" s="79">
        <v>27791.1</v>
      </c>
      <c r="AT15" s="77">
        <v>29118</v>
      </c>
      <c r="AU15" s="106">
        <f t="shared" si="10"/>
        <v>0.9544302493303111</v>
      </c>
      <c r="AV15" s="81">
        <f t="shared" si="22"/>
        <v>1</v>
      </c>
      <c r="AW15" s="109"/>
      <c r="AX15" s="110">
        <f t="shared" si="11"/>
        <v>1</v>
      </c>
      <c r="AY15" s="105">
        <f t="shared" si="17"/>
        <v>6.5</v>
      </c>
    </row>
    <row r="16" spans="1:51" s="11" customFormat="1" ht="12.75">
      <c r="A16" s="107" t="s">
        <v>68</v>
      </c>
      <c r="B16" s="61">
        <v>59500.32</v>
      </c>
      <c r="C16" s="61">
        <v>12231.01486</v>
      </c>
      <c r="D16" s="61">
        <v>50000</v>
      </c>
      <c r="E16" s="69">
        <f t="shared" si="12"/>
        <v>0.9561200332962079</v>
      </c>
      <c r="F16" s="63">
        <f t="shared" si="18"/>
        <v>1</v>
      </c>
      <c r="G16" s="77"/>
      <c r="H16" s="78">
        <f t="shared" si="0"/>
        <v>1</v>
      </c>
      <c r="I16" s="61">
        <v>76929</v>
      </c>
      <c r="J16" s="67">
        <v>998484.22156</v>
      </c>
      <c r="K16" s="68">
        <v>684844.3985599999</v>
      </c>
      <c r="L16" s="61">
        <v>155136.445</v>
      </c>
      <c r="M16" s="61">
        <v>26929</v>
      </c>
      <c r="N16" s="69">
        <f t="shared" si="19"/>
        <v>0.31545069026856937</v>
      </c>
      <c r="O16" s="63">
        <f t="shared" si="1"/>
        <v>1</v>
      </c>
      <c r="P16" s="77"/>
      <c r="Q16" s="78">
        <f t="shared" si="2"/>
        <v>1</v>
      </c>
      <c r="R16" s="104">
        <v>6550</v>
      </c>
      <c r="S16" s="61">
        <v>1010715.23642</v>
      </c>
      <c r="T16" s="71">
        <v>467111.78222000005</v>
      </c>
      <c r="U16" s="69">
        <f t="shared" si="3"/>
        <v>0.012049224392143315</v>
      </c>
      <c r="V16" s="63">
        <f t="shared" si="4"/>
        <v>1</v>
      </c>
      <c r="W16" s="77"/>
      <c r="X16" s="78">
        <f t="shared" si="13"/>
        <v>1</v>
      </c>
      <c r="Y16" s="61">
        <f t="shared" si="14"/>
        <v>12231.01486</v>
      </c>
      <c r="Z16" s="73">
        <v>0</v>
      </c>
      <c r="AA16" s="73">
        <v>2730.69486</v>
      </c>
      <c r="AB16" s="73">
        <v>0</v>
      </c>
      <c r="AC16" s="73">
        <f t="shared" si="5"/>
        <v>998484.22156</v>
      </c>
      <c r="AD16" s="73">
        <f t="shared" si="5"/>
        <v>684844.3985599999</v>
      </c>
      <c r="AE16" s="73">
        <f t="shared" si="5"/>
        <v>155136.445</v>
      </c>
      <c r="AF16" s="73">
        <f t="shared" si="15"/>
        <v>158503.37800000008</v>
      </c>
      <c r="AG16" s="74">
        <f t="shared" si="6"/>
        <v>15850.337800000008</v>
      </c>
      <c r="AH16" s="73">
        <f>IF(AA16&gt;0,AA16,0)+AG16+IF(AB16&gt;0,AB16,0)</f>
        <v>18581.032660000008</v>
      </c>
      <c r="AI16" s="108">
        <f>IF((Y16-IF(Z16&gt;0,Z16,0)-IF(AA16&gt;0,AA16,0)-IF(AB16&gt;0,AB16,0))/(AC16-AD16-AE16)&gt;0,(Y16-IF(Z16&gt;0,Z16,0)-IF(AA16&gt;0,AA16,0)-IF(AB16&gt;0,AB16,0))/(AC16-AD16-AE16),0)</f>
        <v>0.0599376500354459</v>
      </c>
      <c r="AJ16" s="76">
        <f t="shared" si="20"/>
        <v>1.5</v>
      </c>
      <c r="AK16" s="77"/>
      <c r="AL16" s="78">
        <f t="shared" si="8"/>
        <v>1.5</v>
      </c>
      <c r="AM16" s="79">
        <v>22846.8</v>
      </c>
      <c r="AN16" s="77">
        <v>26067</v>
      </c>
      <c r="AO16" s="106">
        <f t="shared" si="9"/>
        <v>0.8764644953389342</v>
      </c>
      <c r="AP16" s="81">
        <f t="shared" si="21"/>
        <v>1</v>
      </c>
      <c r="AQ16" s="77"/>
      <c r="AR16" s="110">
        <f t="shared" si="16"/>
        <v>1</v>
      </c>
      <c r="AS16" s="79">
        <v>58700.4</v>
      </c>
      <c r="AT16" s="77">
        <v>64041</v>
      </c>
      <c r="AU16" s="106">
        <f t="shared" si="10"/>
        <v>0.916606548929592</v>
      </c>
      <c r="AV16" s="81">
        <f t="shared" si="22"/>
        <v>1</v>
      </c>
      <c r="AW16" s="77"/>
      <c r="AX16" s="110">
        <f t="shared" si="11"/>
        <v>1</v>
      </c>
      <c r="AY16" s="105">
        <f t="shared" si="17"/>
        <v>6.5</v>
      </c>
    </row>
    <row r="17" spans="1:52" s="11" customFormat="1" ht="12.75">
      <c r="A17" s="107" t="s">
        <v>69</v>
      </c>
      <c r="B17" s="61">
        <v>0</v>
      </c>
      <c r="C17" s="61">
        <v>3285.7454</v>
      </c>
      <c r="D17" s="61">
        <v>0</v>
      </c>
      <c r="E17" s="69">
        <f>IF(AND(B17=0,D17=0),0,B17/(IF(C17&gt;0,C17,0)+D17))</f>
        <v>0</v>
      </c>
      <c r="F17" s="63">
        <f t="shared" si="18"/>
        <v>1</v>
      </c>
      <c r="G17" s="77"/>
      <c r="H17" s="78">
        <f>F17+G17</f>
        <v>1</v>
      </c>
      <c r="I17" s="61">
        <v>0</v>
      </c>
      <c r="J17" s="67">
        <v>257660.37651</v>
      </c>
      <c r="K17" s="68">
        <v>177455.33151</v>
      </c>
      <c r="L17" s="61">
        <v>25930.383</v>
      </c>
      <c r="M17" s="61"/>
      <c r="N17" s="69">
        <f>(I17-M17)/(J17-K17-L17)</f>
        <v>0</v>
      </c>
      <c r="O17" s="63">
        <f>IF(N17&lt;=1,1,0)</f>
        <v>1</v>
      </c>
      <c r="P17" s="77"/>
      <c r="Q17" s="78">
        <f>O17+P17</f>
        <v>1</v>
      </c>
      <c r="R17" s="104">
        <v>0</v>
      </c>
      <c r="S17" s="61">
        <v>260946.12191</v>
      </c>
      <c r="T17" s="71">
        <v>138939.11983</v>
      </c>
      <c r="U17" s="69">
        <f>R17/(S17-T17)</f>
        <v>0</v>
      </c>
      <c r="V17" s="63">
        <f>IF(U17&lt;=0.15,1,0)</f>
        <v>1</v>
      </c>
      <c r="W17" s="77"/>
      <c r="X17" s="78">
        <f>V17+W17</f>
        <v>1</v>
      </c>
      <c r="Y17" s="61">
        <f>C17</f>
        <v>3285.7454</v>
      </c>
      <c r="Z17" s="73">
        <v>0</v>
      </c>
      <c r="AA17" s="73">
        <v>3285.7454</v>
      </c>
      <c r="AB17" s="73">
        <v>0</v>
      </c>
      <c r="AC17" s="73">
        <f>J17</f>
        <v>257660.37651</v>
      </c>
      <c r="AD17" s="73">
        <f>K17</f>
        <v>177455.33151</v>
      </c>
      <c r="AE17" s="73">
        <f>L17</f>
        <v>25930.383</v>
      </c>
      <c r="AF17" s="73">
        <f>AC17-AD17-AE17</f>
        <v>54274.66200000001</v>
      </c>
      <c r="AG17" s="74">
        <f>AF17*10%</f>
        <v>5427.466200000002</v>
      </c>
      <c r="AH17" s="73">
        <f>IF(AA17&gt;0,AA17,0)+AG17+IF(AB17&gt;0,AB17,0)</f>
        <v>8713.211600000002</v>
      </c>
      <c r="AI17" s="108">
        <f>IF((Y17-IF(Z17&gt;0,Z17,0)-IF(AA17&gt;0,AA17,0)-IF(AB17&gt;0,AB17,0))/(AC17-AD17-AE17)&gt;0,(Y17-IF(Z17&gt;0,Z17,0)-IF(AA17&gt;0,AA17,0)-IF(AB17&gt;0,AB17,0))/(AC17-AD17-AE17),0)</f>
        <v>0</v>
      </c>
      <c r="AJ17" s="76">
        <f t="shared" si="20"/>
        <v>1.5</v>
      </c>
      <c r="AK17" s="77"/>
      <c r="AL17" s="78">
        <f>AJ17+AK17</f>
        <v>1.5</v>
      </c>
      <c r="AM17" s="79">
        <v>8528.9</v>
      </c>
      <c r="AN17" s="77">
        <v>11047</v>
      </c>
      <c r="AO17" s="106">
        <f>AM17/AN17</f>
        <v>0.7720557617452701</v>
      </c>
      <c r="AP17" s="81">
        <f t="shared" si="21"/>
        <v>1</v>
      </c>
      <c r="AQ17" s="77"/>
      <c r="AR17" s="110">
        <f>AP17+AQ17</f>
        <v>1</v>
      </c>
      <c r="AS17" s="79">
        <v>22682.7</v>
      </c>
      <c r="AT17" s="77">
        <v>26142</v>
      </c>
      <c r="AU17" s="106">
        <f t="shared" si="10"/>
        <v>0.8676727105806749</v>
      </c>
      <c r="AV17" s="81">
        <f t="shared" si="22"/>
        <v>1</v>
      </c>
      <c r="AW17" s="77"/>
      <c r="AX17" s="110">
        <f t="shared" si="11"/>
        <v>1</v>
      </c>
      <c r="AY17" s="105">
        <f t="shared" si="17"/>
        <v>6.5</v>
      </c>
      <c r="AZ17" s="111"/>
    </row>
    <row r="18" spans="1:51" s="11" customFormat="1" ht="12.75">
      <c r="A18" s="84" t="s">
        <v>70</v>
      </c>
      <c r="B18" s="85">
        <v>0</v>
      </c>
      <c r="C18" s="85">
        <v>1057.265</v>
      </c>
      <c r="D18" s="85">
        <v>0</v>
      </c>
      <c r="E18" s="86">
        <f t="shared" si="12"/>
        <v>0</v>
      </c>
      <c r="F18" s="87"/>
      <c r="G18" s="88">
        <f aca="true" t="shared" si="24" ref="G18:G23">IF(E18&lt;=1.05,1,0)</f>
        <v>1</v>
      </c>
      <c r="H18" s="89">
        <f t="shared" si="0"/>
        <v>1</v>
      </c>
      <c r="I18" s="85">
        <v>0</v>
      </c>
      <c r="J18" s="90">
        <v>189378.24209</v>
      </c>
      <c r="K18" s="91">
        <v>160006.91809</v>
      </c>
      <c r="L18" s="85">
        <v>14553.572</v>
      </c>
      <c r="M18" s="85"/>
      <c r="N18" s="86">
        <f t="shared" si="19"/>
        <v>0</v>
      </c>
      <c r="O18" s="87"/>
      <c r="P18" s="88">
        <f aca="true" t="shared" si="25" ref="P18:P23">IF(N18&lt;=0.5,1,0)</f>
        <v>1</v>
      </c>
      <c r="Q18" s="89">
        <f t="shared" si="2"/>
        <v>1</v>
      </c>
      <c r="R18" s="92">
        <v>0</v>
      </c>
      <c r="S18" s="85">
        <v>190435.50709</v>
      </c>
      <c r="T18" s="93">
        <v>102556.38445</v>
      </c>
      <c r="U18" s="86">
        <f t="shared" si="3"/>
        <v>0</v>
      </c>
      <c r="V18" s="87"/>
      <c r="W18" s="88">
        <f aca="true" t="shared" si="26" ref="W18:W23">IF(U18&lt;=0.15,1,0)</f>
        <v>1</v>
      </c>
      <c r="X18" s="89">
        <f t="shared" si="13"/>
        <v>1</v>
      </c>
      <c r="Y18" s="85">
        <f t="shared" si="14"/>
        <v>1057.265</v>
      </c>
      <c r="Z18" s="94">
        <v>0</v>
      </c>
      <c r="AA18" s="94">
        <v>1057.265</v>
      </c>
      <c r="AB18" s="94">
        <v>0</v>
      </c>
      <c r="AC18" s="94">
        <f t="shared" si="5"/>
        <v>189378.24209</v>
      </c>
      <c r="AD18" s="94">
        <f t="shared" si="5"/>
        <v>160006.91809</v>
      </c>
      <c r="AE18" s="94">
        <f t="shared" si="5"/>
        <v>14553.572</v>
      </c>
      <c r="AF18" s="94">
        <f t="shared" si="15"/>
        <v>14817.752000000022</v>
      </c>
      <c r="AG18" s="94">
        <f aca="true" t="shared" si="27" ref="AG18:AG38">AF18*5%</f>
        <v>740.8876000000012</v>
      </c>
      <c r="AH18" s="94">
        <f aca="true" t="shared" si="28" ref="AH18:AH42">IF(AA18&gt;0,AA18,0)+AG18+IF(AB18&gt;0,AB18,0)</f>
        <v>1798.1526000000013</v>
      </c>
      <c r="AI18" s="95">
        <f t="shared" si="23"/>
        <v>0</v>
      </c>
      <c r="AJ18" s="87"/>
      <c r="AK18" s="97">
        <f aca="true" t="shared" si="29" ref="AK18:AK23">IF(AI18&lt;=0.055,1.5,0)</f>
        <v>1.5</v>
      </c>
      <c r="AL18" s="89">
        <f t="shared" si="8"/>
        <v>1.5</v>
      </c>
      <c r="AM18" s="98">
        <v>7270</v>
      </c>
      <c r="AN18" s="88">
        <v>10485</v>
      </c>
      <c r="AO18" s="99">
        <f t="shared" si="9"/>
        <v>0.6933714830710539</v>
      </c>
      <c r="AP18" s="87"/>
      <c r="AQ18" s="97">
        <f aca="true" t="shared" si="30" ref="AQ18:AQ32">IF(AO18&lt;=1.005,1,0)</f>
        <v>1</v>
      </c>
      <c r="AR18" s="100">
        <f t="shared" si="16"/>
        <v>1</v>
      </c>
      <c r="AS18" s="98">
        <v>18863.7</v>
      </c>
      <c r="AT18" s="88">
        <v>26192</v>
      </c>
      <c r="AU18" s="99">
        <f t="shared" si="10"/>
        <v>0.7202084605986561</v>
      </c>
      <c r="AV18" s="87"/>
      <c r="AW18" s="97">
        <f aca="true" t="shared" si="31" ref="AW18:AW32">IF(AU18&lt;=1.005,1,0)</f>
        <v>1</v>
      </c>
      <c r="AX18" s="100">
        <f t="shared" si="11"/>
        <v>1</v>
      </c>
      <c r="AY18" s="101">
        <f t="shared" si="17"/>
        <v>6.5</v>
      </c>
    </row>
    <row r="19" spans="1:51" s="11" customFormat="1" ht="12.75">
      <c r="A19" s="84" t="s">
        <v>71</v>
      </c>
      <c r="B19" s="85">
        <v>0</v>
      </c>
      <c r="C19" s="85">
        <v>1954.00377</v>
      </c>
      <c r="D19" s="85">
        <v>0</v>
      </c>
      <c r="E19" s="86">
        <f t="shared" si="12"/>
        <v>0</v>
      </c>
      <c r="F19" s="87"/>
      <c r="G19" s="88">
        <f t="shared" si="24"/>
        <v>1</v>
      </c>
      <c r="H19" s="89">
        <f t="shared" si="0"/>
        <v>1</v>
      </c>
      <c r="I19" s="85">
        <v>0</v>
      </c>
      <c r="J19" s="90">
        <v>244101.03786</v>
      </c>
      <c r="K19" s="91">
        <v>171042.03786</v>
      </c>
      <c r="L19" s="85">
        <v>41914</v>
      </c>
      <c r="M19" s="85"/>
      <c r="N19" s="86">
        <f t="shared" si="19"/>
        <v>0</v>
      </c>
      <c r="O19" s="87"/>
      <c r="P19" s="88">
        <f t="shared" si="25"/>
        <v>1</v>
      </c>
      <c r="Q19" s="89">
        <f t="shared" si="2"/>
        <v>1</v>
      </c>
      <c r="R19" s="92">
        <v>0</v>
      </c>
      <c r="S19" s="85">
        <v>246055.04163</v>
      </c>
      <c r="T19" s="93">
        <v>125038.06517</v>
      </c>
      <c r="U19" s="86">
        <f t="shared" si="3"/>
        <v>0</v>
      </c>
      <c r="V19" s="87"/>
      <c r="W19" s="88">
        <f t="shared" si="26"/>
        <v>1</v>
      </c>
      <c r="X19" s="89">
        <f t="shared" si="13"/>
        <v>1</v>
      </c>
      <c r="Y19" s="85">
        <f t="shared" si="14"/>
        <v>1954.00377</v>
      </c>
      <c r="Z19" s="94">
        <v>0</v>
      </c>
      <c r="AA19" s="94">
        <v>1954.00377</v>
      </c>
      <c r="AB19" s="94">
        <v>0</v>
      </c>
      <c r="AC19" s="94">
        <f t="shared" si="5"/>
        <v>244101.03786</v>
      </c>
      <c r="AD19" s="94">
        <f t="shared" si="5"/>
        <v>171042.03786</v>
      </c>
      <c r="AE19" s="94">
        <f t="shared" si="5"/>
        <v>41914</v>
      </c>
      <c r="AF19" s="94">
        <f t="shared" si="15"/>
        <v>31145</v>
      </c>
      <c r="AG19" s="94">
        <f t="shared" si="27"/>
        <v>1557.25</v>
      </c>
      <c r="AH19" s="94">
        <f t="shared" si="28"/>
        <v>3511.2537700000003</v>
      </c>
      <c r="AI19" s="95">
        <f t="shared" si="23"/>
        <v>0</v>
      </c>
      <c r="AJ19" s="96"/>
      <c r="AK19" s="97">
        <f t="shared" si="29"/>
        <v>1.5</v>
      </c>
      <c r="AL19" s="89">
        <f t="shared" si="8"/>
        <v>1.5</v>
      </c>
      <c r="AM19" s="98">
        <v>8934.3</v>
      </c>
      <c r="AN19" s="88">
        <v>11794</v>
      </c>
      <c r="AO19" s="99">
        <f t="shared" si="9"/>
        <v>0.7575292521621163</v>
      </c>
      <c r="AP19" s="96"/>
      <c r="AQ19" s="97">
        <f t="shared" si="30"/>
        <v>1</v>
      </c>
      <c r="AR19" s="100">
        <f t="shared" si="16"/>
        <v>1</v>
      </c>
      <c r="AS19" s="98">
        <v>22531.1</v>
      </c>
      <c r="AT19" s="88">
        <v>29118</v>
      </c>
      <c r="AU19" s="99">
        <f t="shared" si="10"/>
        <v>0.7737859743114225</v>
      </c>
      <c r="AV19" s="96"/>
      <c r="AW19" s="97">
        <f t="shared" si="31"/>
        <v>1</v>
      </c>
      <c r="AX19" s="100">
        <f t="shared" si="11"/>
        <v>1</v>
      </c>
      <c r="AY19" s="101">
        <f t="shared" si="17"/>
        <v>6.5</v>
      </c>
    </row>
    <row r="20" spans="1:51" s="11" customFormat="1" ht="12.75">
      <c r="A20" s="84" t="s">
        <v>72</v>
      </c>
      <c r="B20" s="85">
        <v>0</v>
      </c>
      <c r="C20" s="85">
        <v>3733.12346</v>
      </c>
      <c r="D20" s="85">
        <v>0</v>
      </c>
      <c r="E20" s="86">
        <f t="shared" si="12"/>
        <v>0</v>
      </c>
      <c r="F20" s="87"/>
      <c r="G20" s="88">
        <f t="shared" si="24"/>
        <v>1</v>
      </c>
      <c r="H20" s="89">
        <f t="shared" si="0"/>
        <v>1</v>
      </c>
      <c r="I20" s="85">
        <v>0</v>
      </c>
      <c r="J20" s="90">
        <v>140582.60922</v>
      </c>
      <c r="K20" s="91">
        <v>103593.85922</v>
      </c>
      <c r="L20" s="85">
        <v>21303.783</v>
      </c>
      <c r="M20" s="85"/>
      <c r="N20" s="86">
        <f t="shared" si="19"/>
        <v>0</v>
      </c>
      <c r="O20" s="87"/>
      <c r="P20" s="88">
        <f t="shared" si="25"/>
        <v>1</v>
      </c>
      <c r="Q20" s="89">
        <f t="shared" si="2"/>
        <v>1</v>
      </c>
      <c r="R20" s="92">
        <v>0</v>
      </c>
      <c r="S20" s="85">
        <v>144315.73268000002</v>
      </c>
      <c r="T20" s="93">
        <v>66915.19802</v>
      </c>
      <c r="U20" s="86">
        <f t="shared" si="3"/>
        <v>0</v>
      </c>
      <c r="V20" s="87"/>
      <c r="W20" s="88">
        <f t="shared" si="26"/>
        <v>1</v>
      </c>
      <c r="X20" s="89">
        <f t="shared" si="13"/>
        <v>1</v>
      </c>
      <c r="Y20" s="85">
        <f t="shared" si="14"/>
        <v>3733.12346</v>
      </c>
      <c r="Z20" s="94">
        <v>0</v>
      </c>
      <c r="AA20" s="94">
        <v>3733.12346</v>
      </c>
      <c r="AB20" s="94">
        <v>0</v>
      </c>
      <c r="AC20" s="94">
        <f t="shared" si="5"/>
        <v>140582.60922</v>
      </c>
      <c r="AD20" s="94">
        <f t="shared" si="5"/>
        <v>103593.85922</v>
      </c>
      <c r="AE20" s="94">
        <f t="shared" si="5"/>
        <v>21303.783</v>
      </c>
      <c r="AF20" s="94">
        <f t="shared" si="15"/>
        <v>15684.967000000015</v>
      </c>
      <c r="AG20" s="94">
        <f t="shared" si="27"/>
        <v>784.2483500000008</v>
      </c>
      <c r="AH20" s="94">
        <f t="shared" si="28"/>
        <v>4517.371810000001</v>
      </c>
      <c r="AI20" s="95">
        <f t="shared" si="23"/>
        <v>0</v>
      </c>
      <c r="AJ20" s="87"/>
      <c r="AK20" s="97">
        <f t="shared" si="29"/>
        <v>1.5</v>
      </c>
      <c r="AL20" s="89">
        <f t="shared" si="8"/>
        <v>1.5</v>
      </c>
      <c r="AM20" s="98">
        <v>5799</v>
      </c>
      <c r="AN20" s="88">
        <v>9587</v>
      </c>
      <c r="AO20" s="99">
        <f t="shared" si="9"/>
        <v>0.604881610514238</v>
      </c>
      <c r="AP20" s="87"/>
      <c r="AQ20" s="97">
        <f t="shared" si="30"/>
        <v>1</v>
      </c>
      <c r="AR20" s="100">
        <f t="shared" si="16"/>
        <v>1</v>
      </c>
      <c r="AS20" s="98">
        <v>15925.9</v>
      </c>
      <c r="AT20" s="88">
        <v>24201</v>
      </c>
      <c r="AU20" s="99">
        <f t="shared" si="10"/>
        <v>0.6580678484360151</v>
      </c>
      <c r="AV20" s="87"/>
      <c r="AW20" s="97">
        <f t="shared" si="31"/>
        <v>1</v>
      </c>
      <c r="AX20" s="100">
        <f t="shared" si="11"/>
        <v>1</v>
      </c>
      <c r="AY20" s="101">
        <f t="shared" si="17"/>
        <v>6.5</v>
      </c>
    </row>
    <row r="21" spans="1:51" s="11" customFormat="1" ht="12.75">
      <c r="A21" s="84" t="s">
        <v>73</v>
      </c>
      <c r="B21" s="85">
        <v>2030</v>
      </c>
      <c r="C21" s="85">
        <v>19094.325</v>
      </c>
      <c r="D21" s="85">
        <v>0</v>
      </c>
      <c r="E21" s="86">
        <f t="shared" si="12"/>
        <v>0.10631431066560353</v>
      </c>
      <c r="F21" s="87"/>
      <c r="G21" s="88">
        <f t="shared" si="24"/>
        <v>1</v>
      </c>
      <c r="H21" s="89">
        <f t="shared" si="0"/>
        <v>1</v>
      </c>
      <c r="I21" s="85">
        <v>0</v>
      </c>
      <c r="J21" s="90">
        <v>423854.9115</v>
      </c>
      <c r="K21" s="91">
        <v>275942.9115</v>
      </c>
      <c r="L21" s="85">
        <v>71866.368</v>
      </c>
      <c r="M21" s="85"/>
      <c r="N21" s="86">
        <f t="shared" si="19"/>
        <v>0</v>
      </c>
      <c r="O21" s="87"/>
      <c r="P21" s="88">
        <f t="shared" si="25"/>
        <v>1</v>
      </c>
      <c r="Q21" s="89">
        <f t="shared" si="2"/>
        <v>1</v>
      </c>
      <c r="R21" s="92">
        <v>0</v>
      </c>
      <c r="S21" s="85">
        <v>442949.2365</v>
      </c>
      <c r="T21" s="93">
        <v>223737.47605</v>
      </c>
      <c r="U21" s="86">
        <f t="shared" si="3"/>
        <v>0</v>
      </c>
      <c r="V21" s="87"/>
      <c r="W21" s="88">
        <f t="shared" si="26"/>
        <v>1</v>
      </c>
      <c r="X21" s="89">
        <f t="shared" si="13"/>
        <v>1</v>
      </c>
      <c r="Y21" s="85">
        <f t="shared" si="14"/>
        <v>19094.325</v>
      </c>
      <c r="Z21" s="94">
        <v>0</v>
      </c>
      <c r="AA21" s="94">
        <v>17064.325</v>
      </c>
      <c r="AB21" s="94">
        <v>0</v>
      </c>
      <c r="AC21" s="94">
        <f t="shared" si="5"/>
        <v>423854.9115</v>
      </c>
      <c r="AD21" s="94">
        <f t="shared" si="5"/>
        <v>275942.9115</v>
      </c>
      <c r="AE21" s="94">
        <f t="shared" si="5"/>
        <v>71866.368</v>
      </c>
      <c r="AF21" s="94">
        <f t="shared" si="15"/>
        <v>76045.632</v>
      </c>
      <c r="AG21" s="94">
        <f t="shared" si="27"/>
        <v>3802.2816000000003</v>
      </c>
      <c r="AH21" s="94">
        <f t="shared" si="28"/>
        <v>20866.6066</v>
      </c>
      <c r="AI21" s="95">
        <f t="shared" si="23"/>
        <v>0.0266944983769745</v>
      </c>
      <c r="AJ21" s="96"/>
      <c r="AK21" s="97">
        <f t="shared" si="29"/>
        <v>1.5</v>
      </c>
      <c r="AL21" s="89">
        <f t="shared" si="8"/>
        <v>1.5</v>
      </c>
      <c r="AM21" s="98">
        <v>16053.6</v>
      </c>
      <c r="AN21" s="88">
        <v>16894</v>
      </c>
      <c r="AO21" s="99">
        <f t="shared" si="9"/>
        <v>0.9502545282348763</v>
      </c>
      <c r="AP21" s="96"/>
      <c r="AQ21" s="97">
        <f t="shared" si="30"/>
        <v>1</v>
      </c>
      <c r="AR21" s="100">
        <f t="shared" si="16"/>
        <v>1</v>
      </c>
      <c r="AS21" s="98">
        <v>36910.9</v>
      </c>
      <c r="AT21" s="88">
        <v>38668</v>
      </c>
      <c r="AU21" s="99">
        <f t="shared" si="10"/>
        <v>0.9545593255404986</v>
      </c>
      <c r="AV21" s="96"/>
      <c r="AW21" s="97">
        <f t="shared" si="31"/>
        <v>1</v>
      </c>
      <c r="AX21" s="100">
        <f t="shared" si="11"/>
        <v>1</v>
      </c>
      <c r="AY21" s="101">
        <f t="shared" si="17"/>
        <v>6.5</v>
      </c>
    </row>
    <row r="22" spans="1:51" s="11" customFormat="1" ht="12.75">
      <c r="A22" s="84" t="s">
        <v>74</v>
      </c>
      <c r="B22" s="85">
        <v>0</v>
      </c>
      <c r="C22" s="85">
        <v>1494.3323300000002</v>
      </c>
      <c r="D22" s="85">
        <v>0</v>
      </c>
      <c r="E22" s="86">
        <f t="shared" si="12"/>
        <v>0</v>
      </c>
      <c r="F22" s="87"/>
      <c r="G22" s="88">
        <f t="shared" si="24"/>
        <v>1</v>
      </c>
      <c r="H22" s="89">
        <f t="shared" si="0"/>
        <v>1</v>
      </c>
      <c r="I22" s="85">
        <v>0</v>
      </c>
      <c r="J22" s="90">
        <v>176185.59604</v>
      </c>
      <c r="K22" s="91">
        <v>133591.59604</v>
      </c>
      <c r="L22" s="85">
        <v>29287.417</v>
      </c>
      <c r="M22" s="85"/>
      <c r="N22" s="86">
        <f t="shared" si="19"/>
        <v>0</v>
      </c>
      <c r="O22" s="87"/>
      <c r="P22" s="88">
        <f t="shared" si="25"/>
        <v>1</v>
      </c>
      <c r="Q22" s="89">
        <f t="shared" si="2"/>
        <v>1</v>
      </c>
      <c r="R22" s="112">
        <v>0</v>
      </c>
      <c r="S22" s="85">
        <v>177679.92837</v>
      </c>
      <c r="T22" s="93">
        <v>89589.38604000001</v>
      </c>
      <c r="U22" s="86">
        <f t="shared" si="3"/>
        <v>0</v>
      </c>
      <c r="V22" s="87"/>
      <c r="W22" s="88">
        <f t="shared" si="26"/>
        <v>1</v>
      </c>
      <c r="X22" s="89">
        <f t="shared" si="13"/>
        <v>1</v>
      </c>
      <c r="Y22" s="85">
        <f t="shared" si="14"/>
        <v>1494.3323300000002</v>
      </c>
      <c r="Z22" s="94">
        <v>0</v>
      </c>
      <c r="AA22" s="94">
        <v>1494.3323300000002</v>
      </c>
      <c r="AB22" s="94">
        <v>0</v>
      </c>
      <c r="AC22" s="94">
        <f t="shared" si="5"/>
        <v>176185.59604</v>
      </c>
      <c r="AD22" s="94">
        <f t="shared" si="5"/>
        <v>133591.59604</v>
      </c>
      <c r="AE22" s="94">
        <f t="shared" si="5"/>
        <v>29287.417</v>
      </c>
      <c r="AF22" s="94">
        <f t="shared" si="15"/>
        <v>13306.582999999999</v>
      </c>
      <c r="AG22" s="94">
        <f t="shared" si="27"/>
        <v>665.32915</v>
      </c>
      <c r="AH22" s="94">
        <f t="shared" si="28"/>
        <v>2159.66148</v>
      </c>
      <c r="AI22" s="95">
        <f t="shared" si="23"/>
        <v>0</v>
      </c>
      <c r="AJ22" s="87"/>
      <c r="AK22" s="97">
        <f t="shared" si="29"/>
        <v>1.5</v>
      </c>
      <c r="AL22" s="89">
        <f t="shared" si="8"/>
        <v>1.5</v>
      </c>
      <c r="AM22" s="98">
        <v>9447.5</v>
      </c>
      <c r="AN22" s="88">
        <v>10485</v>
      </c>
      <c r="AO22" s="99">
        <f t="shared" si="9"/>
        <v>0.9010491177873152</v>
      </c>
      <c r="AP22" s="87"/>
      <c r="AQ22" s="97">
        <f t="shared" si="30"/>
        <v>1</v>
      </c>
      <c r="AR22" s="100">
        <f t="shared" si="16"/>
        <v>1</v>
      </c>
      <c r="AS22" s="98">
        <v>25935.2</v>
      </c>
      <c r="AT22" s="88">
        <v>26192</v>
      </c>
      <c r="AU22" s="99">
        <f t="shared" si="10"/>
        <v>0.9901954795357362</v>
      </c>
      <c r="AV22" s="87"/>
      <c r="AW22" s="97">
        <f t="shared" si="31"/>
        <v>1</v>
      </c>
      <c r="AX22" s="100">
        <f t="shared" si="11"/>
        <v>1</v>
      </c>
      <c r="AY22" s="101">
        <f t="shared" si="17"/>
        <v>6.5</v>
      </c>
    </row>
    <row r="23" spans="1:51" s="11" customFormat="1" ht="12.75">
      <c r="A23" s="84" t="s">
        <v>75</v>
      </c>
      <c r="B23" s="85">
        <v>2153.077</v>
      </c>
      <c r="C23" s="85">
        <v>6663.7005</v>
      </c>
      <c r="D23" s="85">
        <v>0</v>
      </c>
      <c r="E23" s="86">
        <f t="shared" si="12"/>
        <v>0.32310530762899686</v>
      </c>
      <c r="F23" s="87"/>
      <c r="G23" s="88">
        <f t="shared" si="24"/>
        <v>1</v>
      </c>
      <c r="H23" s="89">
        <f t="shared" si="0"/>
        <v>1</v>
      </c>
      <c r="I23" s="85">
        <v>0</v>
      </c>
      <c r="J23" s="90">
        <v>400254.68306999997</v>
      </c>
      <c r="K23" s="91">
        <v>254695.88306999998</v>
      </c>
      <c r="L23" s="85">
        <v>87843.978</v>
      </c>
      <c r="M23" s="85"/>
      <c r="N23" s="86">
        <f t="shared" si="19"/>
        <v>0</v>
      </c>
      <c r="O23" s="87"/>
      <c r="P23" s="88">
        <f t="shared" si="25"/>
        <v>1</v>
      </c>
      <c r="Q23" s="89">
        <f t="shared" si="2"/>
        <v>1</v>
      </c>
      <c r="R23" s="92">
        <v>100</v>
      </c>
      <c r="S23" s="85">
        <v>406918.38357</v>
      </c>
      <c r="T23" s="93">
        <v>204839.20713999998</v>
      </c>
      <c r="U23" s="86">
        <f t="shared" si="3"/>
        <v>0.0004948555401236004</v>
      </c>
      <c r="V23" s="87"/>
      <c r="W23" s="88">
        <f t="shared" si="26"/>
        <v>1</v>
      </c>
      <c r="X23" s="89">
        <f t="shared" si="13"/>
        <v>1</v>
      </c>
      <c r="Y23" s="85">
        <f t="shared" si="14"/>
        <v>6663.7005</v>
      </c>
      <c r="Z23" s="94">
        <v>0</v>
      </c>
      <c r="AA23" s="94">
        <v>4510.6235</v>
      </c>
      <c r="AB23" s="94">
        <v>0</v>
      </c>
      <c r="AC23" s="94">
        <f t="shared" si="5"/>
        <v>400254.68306999997</v>
      </c>
      <c r="AD23" s="94">
        <f t="shared" si="5"/>
        <v>254695.88306999998</v>
      </c>
      <c r="AE23" s="94">
        <f t="shared" si="5"/>
        <v>87843.978</v>
      </c>
      <c r="AF23" s="94">
        <f t="shared" si="15"/>
        <v>57714.821999999986</v>
      </c>
      <c r="AG23" s="94">
        <f t="shared" si="27"/>
        <v>2885.7410999999993</v>
      </c>
      <c r="AH23" s="94">
        <f t="shared" si="28"/>
        <v>7396.364599999999</v>
      </c>
      <c r="AI23" s="95">
        <f t="shared" si="23"/>
        <v>0.03730544295882955</v>
      </c>
      <c r="AJ23" s="96"/>
      <c r="AK23" s="97">
        <f t="shared" si="29"/>
        <v>1.5</v>
      </c>
      <c r="AL23" s="89">
        <f t="shared" si="8"/>
        <v>1.5</v>
      </c>
      <c r="AM23" s="98">
        <v>14482.2</v>
      </c>
      <c r="AN23" s="88">
        <v>16894</v>
      </c>
      <c r="AO23" s="99">
        <f t="shared" si="9"/>
        <v>0.8572392565407837</v>
      </c>
      <c r="AP23" s="96"/>
      <c r="AQ23" s="97">
        <f t="shared" si="30"/>
        <v>1</v>
      </c>
      <c r="AR23" s="100">
        <f t="shared" si="16"/>
        <v>1</v>
      </c>
      <c r="AS23" s="98">
        <v>33980.5</v>
      </c>
      <c r="AT23" s="88">
        <v>38668</v>
      </c>
      <c r="AU23" s="99">
        <f t="shared" si="10"/>
        <v>0.8787757318713147</v>
      </c>
      <c r="AV23" s="96"/>
      <c r="AW23" s="97">
        <f t="shared" si="31"/>
        <v>1</v>
      </c>
      <c r="AX23" s="100">
        <f t="shared" si="11"/>
        <v>1</v>
      </c>
      <c r="AY23" s="101">
        <f t="shared" si="17"/>
        <v>6.5</v>
      </c>
    </row>
    <row r="24" spans="1:52" s="11" customFormat="1" ht="12.75">
      <c r="A24" s="84" t="s">
        <v>76</v>
      </c>
      <c r="B24" s="85">
        <v>0</v>
      </c>
      <c r="C24" s="85">
        <v>17958.936719999998</v>
      </c>
      <c r="D24" s="85">
        <v>0</v>
      </c>
      <c r="E24" s="86">
        <f>IF(AND(B24=0,D24=0),0,B24/(IF(C24&gt;0,C24,0)+D24))</f>
        <v>0</v>
      </c>
      <c r="F24" s="87"/>
      <c r="G24" s="88">
        <f>IF(E24&lt;=1.05,1,0)</f>
        <v>1</v>
      </c>
      <c r="H24" s="89">
        <f>F24+G24</f>
        <v>1</v>
      </c>
      <c r="I24" s="85">
        <v>0</v>
      </c>
      <c r="J24" s="90">
        <v>391834.04510000005</v>
      </c>
      <c r="K24" s="91">
        <v>337255.04510000005</v>
      </c>
      <c r="L24" s="85">
        <v>35255.75</v>
      </c>
      <c r="M24" s="85"/>
      <c r="N24" s="86">
        <f>(I24-M24)/(J24-K24-L24)</f>
        <v>0</v>
      </c>
      <c r="O24" s="87"/>
      <c r="P24" s="88">
        <f>IF(N24&lt;=0.5,1,0)</f>
        <v>1</v>
      </c>
      <c r="Q24" s="89">
        <f>O24+P24</f>
        <v>1</v>
      </c>
      <c r="R24" s="92">
        <v>0</v>
      </c>
      <c r="S24" s="85">
        <v>409792.98182</v>
      </c>
      <c r="T24" s="93">
        <v>133782.53734</v>
      </c>
      <c r="U24" s="86">
        <f>R24/(S24-T24)</f>
        <v>0</v>
      </c>
      <c r="V24" s="87"/>
      <c r="W24" s="88">
        <f>IF(U24&lt;=0.15,1,0)</f>
        <v>1</v>
      </c>
      <c r="X24" s="89">
        <f>V24+W24</f>
        <v>1</v>
      </c>
      <c r="Y24" s="85">
        <f>C24</f>
        <v>17958.936719999998</v>
      </c>
      <c r="Z24" s="94">
        <v>0</v>
      </c>
      <c r="AA24" s="94">
        <v>17958.936719999998</v>
      </c>
      <c r="AB24" s="94">
        <v>0</v>
      </c>
      <c r="AC24" s="94">
        <f>J24</f>
        <v>391834.04510000005</v>
      </c>
      <c r="AD24" s="94">
        <f>K24</f>
        <v>337255.04510000005</v>
      </c>
      <c r="AE24" s="94">
        <f>L24</f>
        <v>35255.75</v>
      </c>
      <c r="AF24" s="94">
        <f>AC24-AD24-AE24</f>
        <v>19323.25</v>
      </c>
      <c r="AG24" s="94">
        <f>AF24*5%</f>
        <v>966.1625</v>
      </c>
      <c r="AH24" s="94">
        <f>IF(AA24&gt;0,AA24,0)+AG24+IF(AB24&gt;0,AB24,0)</f>
        <v>18925.099219999996</v>
      </c>
      <c r="AI24" s="95">
        <f>IF((Y24-IF(Z24&gt;0,Z24,0)-IF(AA24&gt;0,AA24,0)-IF(AB24&gt;0,AB24,0))/(AC24-AD24-AE24)&gt;0,(Y24-IF(Z24&gt;0,Z24,0)-IF(AA24&gt;0,AA24,0)-IF(AB24&gt;0,AB24,0))/(AC24-AD24-AE24),0)</f>
        <v>0</v>
      </c>
      <c r="AJ24" s="96"/>
      <c r="AK24" s="97">
        <f>IF(AI24&lt;=0.055,1.5,0)</f>
        <v>1.5</v>
      </c>
      <c r="AL24" s="89">
        <f>AJ24+AK24</f>
        <v>1.5</v>
      </c>
      <c r="AM24" s="98">
        <v>9101.8</v>
      </c>
      <c r="AN24" s="88">
        <v>11794</v>
      </c>
      <c r="AO24" s="99">
        <f>AM24/AN24</f>
        <v>0.7717313888417839</v>
      </c>
      <c r="AP24" s="96"/>
      <c r="AQ24" s="97">
        <f t="shared" si="30"/>
        <v>1</v>
      </c>
      <c r="AR24" s="100">
        <f>AP24+AQ24</f>
        <v>1</v>
      </c>
      <c r="AS24" s="98">
        <v>24678.7</v>
      </c>
      <c r="AT24" s="88">
        <v>29118</v>
      </c>
      <c r="AU24" s="99">
        <f t="shared" si="10"/>
        <v>0.847541039906587</v>
      </c>
      <c r="AV24" s="96"/>
      <c r="AW24" s="97">
        <f t="shared" si="31"/>
        <v>1</v>
      </c>
      <c r="AX24" s="100">
        <f t="shared" si="11"/>
        <v>1</v>
      </c>
      <c r="AY24" s="101">
        <f t="shared" si="17"/>
        <v>6.5</v>
      </c>
      <c r="AZ24" s="111"/>
    </row>
    <row r="25" spans="1:51" s="11" customFormat="1" ht="12.75">
      <c r="A25" s="84" t="s">
        <v>77</v>
      </c>
      <c r="B25" s="85">
        <v>0</v>
      </c>
      <c r="C25" s="85">
        <v>832.75344</v>
      </c>
      <c r="D25" s="85">
        <v>403.206</v>
      </c>
      <c r="E25" s="86">
        <f t="shared" si="12"/>
        <v>0</v>
      </c>
      <c r="F25" s="87"/>
      <c r="G25" s="88">
        <f aca="true" t="shared" si="32" ref="G25:G38">IF(E25&lt;=1.05,1,0)</f>
        <v>1</v>
      </c>
      <c r="H25" s="89">
        <f t="shared" si="0"/>
        <v>1</v>
      </c>
      <c r="I25" s="85">
        <v>0</v>
      </c>
      <c r="J25" s="90">
        <v>396021.62901</v>
      </c>
      <c r="K25" s="91">
        <v>289896.15051999997</v>
      </c>
      <c r="L25" s="85">
        <v>70990.952</v>
      </c>
      <c r="M25" s="85"/>
      <c r="N25" s="86">
        <f t="shared" si="19"/>
        <v>0</v>
      </c>
      <c r="O25" s="87"/>
      <c r="P25" s="88">
        <f>IF(N25&lt;=0.5,1,0)</f>
        <v>1</v>
      </c>
      <c r="Q25" s="89">
        <f>O25+P25</f>
        <v>1</v>
      </c>
      <c r="R25" s="92">
        <v>6.72129</v>
      </c>
      <c r="S25" s="85">
        <v>396854.38245</v>
      </c>
      <c r="T25" s="93">
        <v>230377.1036</v>
      </c>
      <c r="U25" s="86">
        <f t="shared" si="3"/>
        <v>4.0373617627760745E-05</v>
      </c>
      <c r="V25" s="87"/>
      <c r="W25" s="88">
        <f aca="true" t="shared" si="33" ref="W25:W38">IF(U25&lt;=0.15,1,0)</f>
        <v>1</v>
      </c>
      <c r="X25" s="89">
        <f t="shared" si="13"/>
        <v>1</v>
      </c>
      <c r="Y25" s="85">
        <f t="shared" si="14"/>
        <v>832.75344</v>
      </c>
      <c r="Z25" s="94">
        <v>0</v>
      </c>
      <c r="AA25" s="94">
        <v>1235.9594399999999</v>
      </c>
      <c r="AB25" s="94">
        <v>0</v>
      </c>
      <c r="AC25" s="94">
        <f t="shared" si="5"/>
        <v>396021.62901</v>
      </c>
      <c r="AD25" s="94">
        <f t="shared" si="5"/>
        <v>289896.15051999997</v>
      </c>
      <c r="AE25" s="94">
        <f t="shared" si="5"/>
        <v>70990.952</v>
      </c>
      <c r="AF25" s="94">
        <f t="shared" si="15"/>
        <v>35134.526490000004</v>
      </c>
      <c r="AG25" s="94">
        <f t="shared" si="27"/>
        <v>1756.7263245000004</v>
      </c>
      <c r="AH25" s="94">
        <f t="shared" si="28"/>
        <v>2992.6857645</v>
      </c>
      <c r="AI25" s="95">
        <f t="shared" si="23"/>
        <v>0</v>
      </c>
      <c r="AJ25" s="96"/>
      <c r="AK25" s="97">
        <f aca="true" t="shared" si="34" ref="AK25:AK32">IF(AI25&lt;=0.055,1.5,0)</f>
        <v>1.5</v>
      </c>
      <c r="AL25" s="89">
        <f t="shared" si="8"/>
        <v>1.5</v>
      </c>
      <c r="AM25" s="98">
        <v>11789</v>
      </c>
      <c r="AN25" s="88">
        <v>13953</v>
      </c>
      <c r="AO25" s="99">
        <f t="shared" si="9"/>
        <v>0.8449079051100122</v>
      </c>
      <c r="AP25" s="96"/>
      <c r="AQ25" s="97">
        <f t="shared" si="30"/>
        <v>1</v>
      </c>
      <c r="AR25" s="100">
        <f t="shared" si="16"/>
        <v>1</v>
      </c>
      <c r="AS25" s="98">
        <v>26007.3</v>
      </c>
      <c r="AT25" s="88">
        <v>33128</v>
      </c>
      <c r="AU25" s="99">
        <f t="shared" si="10"/>
        <v>0.7850549384206713</v>
      </c>
      <c r="AV25" s="96"/>
      <c r="AW25" s="97">
        <f t="shared" si="31"/>
        <v>1</v>
      </c>
      <c r="AX25" s="100">
        <f t="shared" si="11"/>
        <v>1</v>
      </c>
      <c r="AY25" s="101">
        <f t="shared" si="17"/>
        <v>6.5</v>
      </c>
    </row>
    <row r="26" spans="1:51" s="11" customFormat="1" ht="12.75">
      <c r="A26" s="84" t="s">
        <v>78</v>
      </c>
      <c r="B26" s="85">
        <v>0</v>
      </c>
      <c r="C26" s="85">
        <v>6096.69752</v>
      </c>
      <c r="D26" s="85">
        <v>0</v>
      </c>
      <c r="E26" s="86">
        <f t="shared" si="12"/>
        <v>0</v>
      </c>
      <c r="F26" s="87"/>
      <c r="G26" s="88">
        <f t="shared" si="32"/>
        <v>1</v>
      </c>
      <c r="H26" s="89">
        <f t="shared" si="0"/>
        <v>1</v>
      </c>
      <c r="I26" s="85">
        <v>0</v>
      </c>
      <c r="J26" s="90">
        <v>258128.97681</v>
      </c>
      <c r="K26" s="91">
        <v>192191.87681000002</v>
      </c>
      <c r="L26" s="85">
        <v>39015.892</v>
      </c>
      <c r="M26" s="85"/>
      <c r="N26" s="86">
        <f t="shared" si="19"/>
        <v>0</v>
      </c>
      <c r="O26" s="87"/>
      <c r="P26" s="88">
        <f aca="true" t="shared" si="35" ref="P26:P38">IF(N26&lt;=0.5,1,0)</f>
        <v>1</v>
      </c>
      <c r="Q26" s="89">
        <f t="shared" si="2"/>
        <v>1</v>
      </c>
      <c r="R26" s="92">
        <v>0</v>
      </c>
      <c r="S26" s="85">
        <v>264225.67433</v>
      </c>
      <c r="T26" s="93">
        <v>152014.35275999998</v>
      </c>
      <c r="U26" s="86">
        <f t="shared" si="3"/>
        <v>0</v>
      </c>
      <c r="V26" s="87"/>
      <c r="W26" s="88">
        <f t="shared" si="33"/>
        <v>1</v>
      </c>
      <c r="X26" s="89">
        <f t="shared" si="13"/>
        <v>1</v>
      </c>
      <c r="Y26" s="85">
        <f t="shared" si="14"/>
        <v>6096.69752</v>
      </c>
      <c r="Z26" s="94">
        <v>0</v>
      </c>
      <c r="AA26" s="94">
        <v>6096.69752</v>
      </c>
      <c r="AB26" s="94">
        <v>0</v>
      </c>
      <c r="AC26" s="94">
        <f t="shared" si="5"/>
        <v>258128.97681</v>
      </c>
      <c r="AD26" s="94">
        <f t="shared" si="5"/>
        <v>192191.87681000002</v>
      </c>
      <c r="AE26" s="94">
        <f t="shared" si="5"/>
        <v>39015.892</v>
      </c>
      <c r="AF26" s="94">
        <f t="shared" si="15"/>
        <v>26921.207999999977</v>
      </c>
      <c r="AG26" s="94">
        <f t="shared" si="27"/>
        <v>1346.060399999999</v>
      </c>
      <c r="AH26" s="94">
        <f t="shared" si="28"/>
        <v>7442.757919999998</v>
      </c>
      <c r="AI26" s="95">
        <f t="shared" si="23"/>
        <v>0</v>
      </c>
      <c r="AJ26" s="87"/>
      <c r="AK26" s="97">
        <f t="shared" si="34"/>
        <v>1.5</v>
      </c>
      <c r="AL26" s="89">
        <f t="shared" si="8"/>
        <v>1.5</v>
      </c>
      <c r="AM26" s="98">
        <v>10826.8</v>
      </c>
      <c r="AN26" s="88">
        <v>11047</v>
      </c>
      <c r="AO26" s="99">
        <f t="shared" si="9"/>
        <v>0.9800669865121752</v>
      </c>
      <c r="AP26" s="87"/>
      <c r="AQ26" s="97">
        <f t="shared" si="30"/>
        <v>1</v>
      </c>
      <c r="AR26" s="100">
        <f t="shared" si="16"/>
        <v>1</v>
      </c>
      <c r="AS26" s="98">
        <v>25807.7</v>
      </c>
      <c r="AT26" s="88">
        <v>26142</v>
      </c>
      <c r="AU26" s="99">
        <f t="shared" si="10"/>
        <v>0.9872121490322088</v>
      </c>
      <c r="AV26" s="87"/>
      <c r="AW26" s="97">
        <f t="shared" si="31"/>
        <v>1</v>
      </c>
      <c r="AX26" s="100">
        <f t="shared" si="11"/>
        <v>1</v>
      </c>
      <c r="AY26" s="101">
        <f t="shared" si="17"/>
        <v>6.5</v>
      </c>
    </row>
    <row r="27" spans="1:51" s="11" customFormat="1" ht="12.75">
      <c r="A27" s="84" t="s">
        <v>79</v>
      </c>
      <c r="B27" s="85">
        <v>0</v>
      </c>
      <c r="C27" s="85">
        <v>421.297</v>
      </c>
      <c r="D27" s="85">
        <v>0</v>
      </c>
      <c r="E27" s="86">
        <f t="shared" si="12"/>
        <v>0</v>
      </c>
      <c r="F27" s="87"/>
      <c r="G27" s="88">
        <f t="shared" si="32"/>
        <v>1</v>
      </c>
      <c r="H27" s="89">
        <f t="shared" si="0"/>
        <v>1</v>
      </c>
      <c r="I27" s="85">
        <v>0</v>
      </c>
      <c r="J27" s="90">
        <v>286609.29267</v>
      </c>
      <c r="K27" s="91">
        <v>207059.69267</v>
      </c>
      <c r="L27" s="85">
        <v>47586.113</v>
      </c>
      <c r="M27" s="85"/>
      <c r="N27" s="86">
        <f t="shared" si="19"/>
        <v>0</v>
      </c>
      <c r="O27" s="87"/>
      <c r="P27" s="88">
        <f t="shared" si="35"/>
        <v>1</v>
      </c>
      <c r="Q27" s="89">
        <f t="shared" si="2"/>
        <v>1</v>
      </c>
      <c r="R27" s="92">
        <v>0</v>
      </c>
      <c r="S27" s="85">
        <v>287030.58967</v>
      </c>
      <c r="T27" s="93">
        <v>144963.39099</v>
      </c>
      <c r="U27" s="86">
        <f t="shared" si="3"/>
        <v>0</v>
      </c>
      <c r="V27" s="87"/>
      <c r="W27" s="88">
        <f t="shared" si="33"/>
        <v>1</v>
      </c>
      <c r="X27" s="89">
        <f t="shared" si="13"/>
        <v>1</v>
      </c>
      <c r="Y27" s="85">
        <f t="shared" si="14"/>
        <v>421.297</v>
      </c>
      <c r="Z27" s="94">
        <v>0</v>
      </c>
      <c r="AA27" s="94">
        <v>421.297</v>
      </c>
      <c r="AB27" s="94">
        <v>0</v>
      </c>
      <c r="AC27" s="94">
        <f t="shared" si="5"/>
        <v>286609.29267</v>
      </c>
      <c r="AD27" s="94">
        <f t="shared" si="5"/>
        <v>207059.69267</v>
      </c>
      <c r="AE27" s="94">
        <f t="shared" si="5"/>
        <v>47586.113</v>
      </c>
      <c r="AF27" s="94">
        <f t="shared" si="15"/>
        <v>31963.48700000001</v>
      </c>
      <c r="AG27" s="94">
        <f t="shared" si="27"/>
        <v>1598.1743500000005</v>
      </c>
      <c r="AH27" s="94">
        <f t="shared" si="28"/>
        <v>2019.4713500000005</v>
      </c>
      <c r="AI27" s="95">
        <f t="shared" si="23"/>
        <v>0</v>
      </c>
      <c r="AJ27" s="87"/>
      <c r="AK27" s="97">
        <f t="shared" si="34"/>
        <v>1.5</v>
      </c>
      <c r="AL27" s="89">
        <f t="shared" si="8"/>
        <v>1.5</v>
      </c>
      <c r="AM27" s="98">
        <v>10555.8</v>
      </c>
      <c r="AN27" s="88">
        <v>11794</v>
      </c>
      <c r="AO27" s="99">
        <f t="shared" si="9"/>
        <v>0.8950144141088688</v>
      </c>
      <c r="AP27" s="87"/>
      <c r="AQ27" s="97">
        <f t="shared" si="30"/>
        <v>1</v>
      </c>
      <c r="AR27" s="100">
        <f t="shared" si="16"/>
        <v>1</v>
      </c>
      <c r="AS27" s="98">
        <v>25628.1</v>
      </c>
      <c r="AT27" s="88">
        <v>29118</v>
      </c>
      <c r="AU27" s="99">
        <f t="shared" si="10"/>
        <v>0.8801463012569544</v>
      </c>
      <c r="AV27" s="87"/>
      <c r="AW27" s="97">
        <f t="shared" si="31"/>
        <v>1</v>
      </c>
      <c r="AX27" s="100">
        <f t="shared" si="11"/>
        <v>1</v>
      </c>
      <c r="AY27" s="101">
        <f t="shared" si="17"/>
        <v>6.5</v>
      </c>
    </row>
    <row r="28" spans="1:51" s="11" customFormat="1" ht="12.75">
      <c r="A28" s="84" t="s">
        <v>80</v>
      </c>
      <c r="B28" s="85">
        <v>0</v>
      </c>
      <c r="C28" s="85">
        <v>2232.81546</v>
      </c>
      <c r="D28" s="85">
        <v>0</v>
      </c>
      <c r="E28" s="86">
        <f t="shared" si="12"/>
        <v>0</v>
      </c>
      <c r="F28" s="87"/>
      <c r="G28" s="88">
        <f t="shared" si="32"/>
        <v>1</v>
      </c>
      <c r="H28" s="89">
        <f t="shared" si="0"/>
        <v>1</v>
      </c>
      <c r="I28" s="85">
        <v>0</v>
      </c>
      <c r="J28" s="90">
        <v>199376.52164</v>
      </c>
      <c r="K28" s="91">
        <v>164202.52164</v>
      </c>
      <c r="L28" s="85">
        <v>21778.375</v>
      </c>
      <c r="M28" s="85"/>
      <c r="N28" s="86">
        <f t="shared" si="19"/>
        <v>0</v>
      </c>
      <c r="O28" s="87"/>
      <c r="P28" s="88">
        <f t="shared" si="35"/>
        <v>1</v>
      </c>
      <c r="Q28" s="89">
        <f t="shared" si="2"/>
        <v>1</v>
      </c>
      <c r="R28" s="92">
        <v>0</v>
      </c>
      <c r="S28" s="85">
        <v>201609.3371</v>
      </c>
      <c r="T28" s="93">
        <v>109760.12831999999</v>
      </c>
      <c r="U28" s="86">
        <f t="shared" si="3"/>
        <v>0</v>
      </c>
      <c r="V28" s="87"/>
      <c r="W28" s="88">
        <f t="shared" si="33"/>
        <v>1</v>
      </c>
      <c r="X28" s="89">
        <f t="shared" si="13"/>
        <v>1</v>
      </c>
      <c r="Y28" s="85">
        <f t="shared" si="14"/>
        <v>2232.81546</v>
      </c>
      <c r="Z28" s="94">
        <v>0</v>
      </c>
      <c r="AA28" s="94">
        <v>2232.81546</v>
      </c>
      <c r="AB28" s="94">
        <v>0</v>
      </c>
      <c r="AC28" s="94">
        <f t="shared" si="5"/>
        <v>199376.52164</v>
      </c>
      <c r="AD28" s="94">
        <f t="shared" si="5"/>
        <v>164202.52164</v>
      </c>
      <c r="AE28" s="94">
        <f t="shared" si="5"/>
        <v>21778.375</v>
      </c>
      <c r="AF28" s="94">
        <f t="shared" si="15"/>
        <v>13395.625</v>
      </c>
      <c r="AG28" s="94">
        <f t="shared" si="27"/>
        <v>669.78125</v>
      </c>
      <c r="AH28" s="94">
        <f t="shared" si="28"/>
        <v>2902.59671</v>
      </c>
      <c r="AI28" s="95">
        <f t="shared" si="23"/>
        <v>0</v>
      </c>
      <c r="AJ28" s="87"/>
      <c r="AK28" s="97">
        <f t="shared" si="34"/>
        <v>1.5</v>
      </c>
      <c r="AL28" s="89">
        <f t="shared" si="8"/>
        <v>1.5</v>
      </c>
      <c r="AM28" s="98">
        <v>8521.2</v>
      </c>
      <c r="AN28" s="88">
        <v>10485</v>
      </c>
      <c r="AO28" s="99">
        <f t="shared" si="9"/>
        <v>0.8127038626609443</v>
      </c>
      <c r="AP28" s="87"/>
      <c r="AQ28" s="97">
        <f t="shared" si="30"/>
        <v>1</v>
      </c>
      <c r="AR28" s="100">
        <f t="shared" si="16"/>
        <v>1</v>
      </c>
      <c r="AS28" s="98">
        <v>22164.1</v>
      </c>
      <c r="AT28" s="88">
        <v>26192</v>
      </c>
      <c r="AU28" s="99">
        <f t="shared" si="10"/>
        <v>0.8462164019547953</v>
      </c>
      <c r="AV28" s="87"/>
      <c r="AW28" s="97">
        <f t="shared" si="31"/>
        <v>1</v>
      </c>
      <c r="AX28" s="100">
        <f t="shared" si="11"/>
        <v>1</v>
      </c>
      <c r="AY28" s="101">
        <f t="shared" si="17"/>
        <v>6.5</v>
      </c>
    </row>
    <row r="29" spans="1:51" s="11" customFormat="1" ht="12.75">
      <c r="A29" s="84" t="s">
        <v>81</v>
      </c>
      <c r="B29" s="85">
        <v>0</v>
      </c>
      <c r="C29" s="85">
        <v>5983.52948</v>
      </c>
      <c r="D29" s="85">
        <v>0</v>
      </c>
      <c r="E29" s="86">
        <f t="shared" si="12"/>
        <v>0</v>
      </c>
      <c r="F29" s="87"/>
      <c r="G29" s="88">
        <f t="shared" si="32"/>
        <v>1</v>
      </c>
      <c r="H29" s="89">
        <f t="shared" si="0"/>
        <v>1</v>
      </c>
      <c r="I29" s="85">
        <v>0</v>
      </c>
      <c r="J29" s="90">
        <v>258913.09652000002</v>
      </c>
      <c r="K29" s="91">
        <v>194977.17652</v>
      </c>
      <c r="L29" s="85">
        <v>39592.413</v>
      </c>
      <c r="M29" s="85"/>
      <c r="N29" s="86">
        <f t="shared" si="19"/>
        <v>0</v>
      </c>
      <c r="O29" s="87"/>
      <c r="P29" s="88">
        <f t="shared" si="35"/>
        <v>1</v>
      </c>
      <c r="Q29" s="89">
        <f t="shared" si="2"/>
        <v>1</v>
      </c>
      <c r="R29" s="92">
        <v>0</v>
      </c>
      <c r="S29" s="85">
        <v>264896.626</v>
      </c>
      <c r="T29" s="93">
        <v>131766.40584</v>
      </c>
      <c r="U29" s="86">
        <f t="shared" si="3"/>
        <v>0</v>
      </c>
      <c r="V29" s="87"/>
      <c r="W29" s="88">
        <f t="shared" si="33"/>
        <v>1</v>
      </c>
      <c r="X29" s="89">
        <f t="shared" si="13"/>
        <v>1</v>
      </c>
      <c r="Y29" s="85">
        <f t="shared" si="14"/>
        <v>5983.52948</v>
      </c>
      <c r="Z29" s="94">
        <v>0</v>
      </c>
      <c r="AA29" s="94">
        <v>5983.52948</v>
      </c>
      <c r="AB29" s="94">
        <v>0</v>
      </c>
      <c r="AC29" s="94">
        <f t="shared" si="5"/>
        <v>258913.09652000002</v>
      </c>
      <c r="AD29" s="94">
        <f t="shared" si="5"/>
        <v>194977.17652</v>
      </c>
      <c r="AE29" s="94">
        <f t="shared" si="5"/>
        <v>39592.413</v>
      </c>
      <c r="AF29" s="94">
        <f t="shared" si="15"/>
        <v>24343.507000000012</v>
      </c>
      <c r="AG29" s="94">
        <f t="shared" si="27"/>
        <v>1217.1753500000007</v>
      </c>
      <c r="AH29" s="94">
        <f t="shared" si="28"/>
        <v>7200.704830000001</v>
      </c>
      <c r="AI29" s="95">
        <f t="shared" si="23"/>
        <v>0</v>
      </c>
      <c r="AJ29" s="87"/>
      <c r="AK29" s="97">
        <f t="shared" si="34"/>
        <v>1.5</v>
      </c>
      <c r="AL29" s="89">
        <f t="shared" si="8"/>
        <v>1.5</v>
      </c>
      <c r="AM29" s="98">
        <v>10452.7</v>
      </c>
      <c r="AN29" s="88">
        <v>11794</v>
      </c>
      <c r="AO29" s="99">
        <f t="shared" si="9"/>
        <v>0.8862726810242497</v>
      </c>
      <c r="AP29" s="87"/>
      <c r="AQ29" s="97">
        <f t="shared" si="30"/>
        <v>1</v>
      </c>
      <c r="AR29" s="100">
        <f t="shared" si="16"/>
        <v>1</v>
      </c>
      <c r="AS29" s="98">
        <v>26409.6</v>
      </c>
      <c r="AT29" s="88">
        <v>29118</v>
      </c>
      <c r="AU29" s="99">
        <f t="shared" si="10"/>
        <v>0.9069853698743046</v>
      </c>
      <c r="AV29" s="87"/>
      <c r="AW29" s="97">
        <f t="shared" si="31"/>
        <v>1</v>
      </c>
      <c r="AX29" s="100">
        <f t="shared" si="11"/>
        <v>1</v>
      </c>
      <c r="AY29" s="101">
        <f t="shared" si="17"/>
        <v>6.5</v>
      </c>
    </row>
    <row r="30" spans="1:51" s="11" customFormat="1" ht="12.75">
      <c r="A30" s="84" t="s">
        <v>82</v>
      </c>
      <c r="B30" s="85">
        <v>0</v>
      </c>
      <c r="C30" s="85">
        <v>21288.66675</v>
      </c>
      <c r="D30" s="85">
        <v>0</v>
      </c>
      <c r="E30" s="86">
        <f t="shared" si="12"/>
        <v>0</v>
      </c>
      <c r="F30" s="87"/>
      <c r="G30" s="88">
        <f t="shared" si="32"/>
        <v>1</v>
      </c>
      <c r="H30" s="89">
        <f t="shared" si="0"/>
        <v>1</v>
      </c>
      <c r="I30" s="85">
        <v>0</v>
      </c>
      <c r="J30" s="90">
        <v>322385.35992</v>
      </c>
      <c r="K30" s="91">
        <v>228927.05992</v>
      </c>
      <c r="L30" s="85">
        <v>54326.429</v>
      </c>
      <c r="M30" s="85"/>
      <c r="N30" s="86">
        <f t="shared" si="19"/>
        <v>0</v>
      </c>
      <c r="O30" s="87"/>
      <c r="P30" s="88">
        <f>IF(N30&lt;=0.5,1,0)</f>
        <v>1</v>
      </c>
      <c r="Q30" s="89">
        <f>O30+P30</f>
        <v>1</v>
      </c>
      <c r="R30" s="92">
        <v>0</v>
      </c>
      <c r="S30" s="85">
        <v>343674.02667</v>
      </c>
      <c r="T30" s="93">
        <v>173604.30515</v>
      </c>
      <c r="U30" s="86">
        <f t="shared" si="3"/>
        <v>0</v>
      </c>
      <c r="V30" s="87"/>
      <c r="W30" s="88">
        <f t="shared" si="33"/>
        <v>1</v>
      </c>
      <c r="X30" s="89">
        <f t="shared" si="13"/>
        <v>1</v>
      </c>
      <c r="Y30" s="85">
        <f t="shared" si="14"/>
        <v>21288.66675</v>
      </c>
      <c r="Z30" s="94">
        <v>0</v>
      </c>
      <c r="AA30" s="94">
        <v>21288.66675</v>
      </c>
      <c r="AB30" s="94">
        <v>0</v>
      </c>
      <c r="AC30" s="94">
        <f t="shared" si="5"/>
        <v>322385.35992</v>
      </c>
      <c r="AD30" s="94">
        <f t="shared" si="5"/>
        <v>228927.05992</v>
      </c>
      <c r="AE30" s="94">
        <f t="shared" si="5"/>
        <v>54326.429</v>
      </c>
      <c r="AF30" s="94">
        <f t="shared" si="15"/>
        <v>39131.87100000002</v>
      </c>
      <c r="AG30" s="94">
        <f t="shared" si="27"/>
        <v>1956.5935500000012</v>
      </c>
      <c r="AH30" s="94">
        <f t="shared" si="28"/>
        <v>23245.2603</v>
      </c>
      <c r="AI30" s="95">
        <f t="shared" si="23"/>
        <v>0</v>
      </c>
      <c r="AJ30" s="96"/>
      <c r="AK30" s="97">
        <f t="shared" si="34"/>
        <v>1.5</v>
      </c>
      <c r="AL30" s="89">
        <f t="shared" si="8"/>
        <v>1.5</v>
      </c>
      <c r="AM30" s="98">
        <v>13656.3</v>
      </c>
      <c r="AN30" s="88">
        <v>13953</v>
      </c>
      <c r="AO30" s="99">
        <f t="shared" si="9"/>
        <v>0.9787357557514512</v>
      </c>
      <c r="AP30" s="96"/>
      <c r="AQ30" s="97">
        <f t="shared" si="30"/>
        <v>1</v>
      </c>
      <c r="AR30" s="100">
        <f t="shared" si="16"/>
        <v>1</v>
      </c>
      <c r="AS30" s="98">
        <v>31239.6</v>
      </c>
      <c r="AT30" s="88">
        <v>33128</v>
      </c>
      <c r="AU30" s="99">
        <f t="shared" si="10"/>
        <v>0.9429968606616759</v>
      </c>
      <c r="AV30" s="96"/>
      <c r="AW30" s="97">
        <f t="shared" si="31"/>
        <v>1</v>
      </c>
      <c r="AX30" s="100">
        <f t="shared" si="11"/>
        <v>1</v>
      </c>
      <c r="AY30" s="101">
        <f t="shared" si="17"/>
        <v>6.5</v>
      </c>
    </row>
    <row r="31" spans="1:51" s="11" customFormat="1" ht="12.75">
      <c r="A31" s="84" t="s">
        <v>83</v>
      </c>
      <c r="B31" s="85">
        <v>0</v>
      </c>
      <c r="C31" s="85">
        <v>2551.546</v>
      </c>
      <c r="D31" s="85">
        <v>0</v>
      </c>
      <c r="E31" s="86">
        <f t="shared" si="12"/>
        <v>0</v>
      </c>
      <c r="F31" s="87"/>
      <c r="G31" s="88">
        <f t="shared" si="32"/>
        <v>1</v>
      </c>
      <c r="H31" s="89">
        <f t="shared" si="0"/>
        <v>1</v>
      </c>
      <c r="I31" s="85">
        <v>0</v>
      </c>
      <c r="J31" s="90">
        <v>226784.79258</v>
      </c>
      <c r="K31" s="91">
        <v>195615.27925999998</v>
      </c>
      <c r="L31" s="85">
        <v>19809.605</v>
      </c>
      <c r="M31" s="85"/>
      <c r="N31" s="86">
        <f t="shared" si="19"/>
        <v>0</v>
      </c>
      <c r="O31" s="87"/>
      <c r="P31" s="88">
        <f t="shared" si="35"/>
        <v>1</v>
      </c>
      <c r="Q31" s="89">
        <f t="shared" si="2"/>
        <v>1</v>
      </c>
      <c r="R31" s="92">
        <v>0</v>
      </c>
      <c r="S31" s="85">
        <v>229336.33858</v>
      </c>
      <c r="T31" s="93">
        <v>120470.89406</v>
      </c>
      <c r="U31" s="86">
        <f t="shared" si="3"/>
        <v>0</v>
      </c>
      <c r="V31" s="87"/>
      <c r="W31" s="88">
        <f t="shared" si="33"/>
        <v>1</v>
      </c>
      <c r="X31" s="89">
        <f t="shared" si="13"/>
        <v>1</v>
      </c>
      <c r="Y31" s="85">
        <f t="shared" si="14"/>
        <v>2551.546</v>
      </c>
      <c r="Z31" s="94">
        <v>0</v>
      </c>
      <c r="AA31" s="94">
        <v>2415</v>
      </c>
      <c r="AB31" s="94">
        <v>0</v>
      </c>
      <c r="AC31" s="94">
        <f t="shared" si="5"/>
        <v>226784.79258</v>
      </c>
      <c r="AD31" s="94">
        <f t="shared" si="5"/>
        <v>195615.27925999998</v>
      </c>
      <c r="AE31" s="94">
        <f t="shared" si="5"/>
        <v>19809.605</v>
      </c>
      <c r="AF31" s="94">
        <f t="shared" si="15"/>
        <v>11359.908320000028</v>
      </c>
      <c r="AG31" s="94">
        <f t="shared" si="27"/>
        <v>567.9954160000015</v>
      </c>
      <c r="AH31" s="94">
        <f t="shared" si="28"/>
        <v>2982.9954160000016</v>
      </c>
      <c r="AI31" s="95">
        <f t="shared" si="23"/>
        <v>0.012019991372606384</v>
      </c>
      <c r="AJ31" s="87"/>
      <c r="AK31" s="97">
        <f t="shared" si="34"/>
        <v>1.5</v>
      </c>
      <c r="AL31" s="89">
        <f t="shared" si="8"/>
        <v>1.5</v>
      </c>
      <c r="AM31" s="98">
        <v>6373.3</v>
      </c>
      <c r="AN31" s="88">
        <v>9738</v>
      </c>
      <c r="AO31" s="99">
        <f t="shared" si="9"/>
        <v>0.6544773054015198</v>
      </c>
      <c r="AP31" s="87"/>
      <c r="AQ31" s="97">
        <f t="shared" si="30"/>
        <v>1</v>
      </c>
      <c r="AR31" s="100">
        <f t="shared" si="16"/>
        <v>1</v>
      </c>
      <c r="AS31" s="98">
        <v>15797.6</v>
      </c>
      <c r="AT31" s="88">
        <v>23216</v>
      </c>
      <c r="AU31" s="99">
        <f t="shared" si="10"/>
        <v>0.680461750516885</v>
      </c>
      <c r="AV31" s="87"/>
      <c r="AW31" s="97">
        <f t="shared" si="31"/>
        <v>1</v>
      </c>
      <c r="AX31" s="100">
        <f t="shared" si="11"/>
        <v>1</v>
      </c>
      <c r="AY31" s="101">
        <f t="shared" si="17"/>
        <v>6.5</v>
      </c>
    </row>
    <row r="32" spans="1:51" s="11" customFormat="1" ht="12.75">
      <c r="A32" s="84" t="s">
        <v>84</v>
      </c>
      <c r="B32" s="85">
        <v>0</v>
      </c>
      <c r="C32" s="85">
        <v>5160.11908</v>
      </c>
      <c r="D32" s="85">
        <v>0</v>
      </c>
      <c r="E32" s="86">
        <f t="shared" si="12"/>
        <v>0</v>
      </c>
      <c r="F32" s="87"/>
      <c r="G32" s="88">
        <f t="shared" si="32"/>
        <v>1</v>
      </c>
      <c r="H32" s="89">
        <f t="shared" si="0"/>
        <v>1</v>
      </c>
      <c r="I32" s="85">
        <v>0</v>
      </c>
      <c r="J32" s="90">
        <v>506300.8933</v>
      </c>
      <c r="K32" s="91">
        <v>388164.82662</v>
      </c>
      <c r="L32" s="85">
        <v>78291.126</v>
      </c>
      <c r="M32" s="85"/>
      <c r="N32" s="86">
        <f t="shared" si="19"/>
        <v>0</v>
      </c>
      <c r="O32" s="87"/>
      <c r="P32" s="88">
        <f t="shared" si="35"/>
        <v>1</v>
      </c>
      <c r="Q32" s="89">
        <f t="shared" si="2"/>
        <v>1</v>
      </c>
      <c r="R32" s="92">
        <v>0</v>
      </c>
      <c r="S32" s="85">
        <v>511461.01238</v>
      </c>
      <c r="T32" s="93">
        <v>234082.09928999998</v>
      </c>
      <c r="U32" s="86">
        <f t="shared" si="3"/>
        <v>0</v>
      </c>
      <c r="V32" s="87"/>
      <c r="W32" s="88">
        <f t="shared" si="33"/>
        <v>1</v>
      </c>
      <c r="X32" s="89">
        <f t="shared" si="13"/>
        <v>1</v>
      </c>
      <c r="Y32" s="85">
        <f t="shared" si="14"/>
        <v>5160.11908</v>
      </c>
      <c r="Z32" s="94">
        <v>0</v>
      </c>
      <c r="AA32" s="94">
        <v>5160.11908</v>
      </c>
      <c r="AB32" s="94">
        <v>0</v>
      </c>
      <c r="AC32" s="94">
        <f t="shared" si="5"/>
        <v>506300.8933</v>
      </c>
      <c r="AD32" s="94">
        <f t="shared" si="5"/>
        <v>388164.82662</v>
      </c>
      <c r="AE32" s="94">
        <f t="shared" si="5"/>
        <v>78291.126</v>
      </c>
      <c r="AF32" s="94">
        <f t="shared" si="15"/>
        <v>39844.940679999985</v>
      </c>
      <c r="AG32" s="94">
        <f t="shared" si="27"/>
        <v>1992.2470339999993</v>
      </c>
      <c r="AH32" s="94">
        <f t="shared" si="28"/>
        <v>7152.3661139999995</v>
      </c>
      <c r="AI32" s="95">
        <f t="shared" si="23"/>
        <v>0</v>
      </c>
      <c r="AJ32" s="87"/>
      <c r="AK32" s="97">
        <f t="shared" si="34"/>
        <v>1.5</v>
      </c>
      <c r="AL32" s="89">
        <f t="shared" si="8"/>
        <v>1.5</v>
      </c>
      <c r="AM32" s="98">
        <v>13866.4</v>
      </c>
      <c r="AN32" s="88">
        <v>13953</v>
      </c>
      <c r="AO32" s="99">
        <f>AM32/AN32</f>
        <v>0.993793449437397</v>
      </c>
      <c r="AP32" s="87"/>
      <c r="AQ32" s="97">
        <f t="shared" si="30"/>
        <v>1</v>
      </c>
      <c r="AR32" s="100">
        <f t="shared" si="16"/>
        <v>1</v>
      </c>
      <c r="AS32" s="98">
        <v>33128</v>
      </c>
      <c r="AT32" s="88">
        <v>33128</v>
      </c>
      <c r="AU32" s="99">
        <f t="shared" si="10"/>
        <v>1</v>
      </c>
      <c r="AV32" s="87"/>
      <c r="AW32" s="97">
        <f t="shared" si="31"/>
        <v>1</v>
      </c>
      <c r="AX32" s="100">
        <f t="shared" si="11"/>
        <v>1</v>
      </c>
      <c r="AY32" s="101">
        <f t="shared" si="17"/>
        <v>6.5</v>
      </c>
    </row>
    <row r="33" spans="1:52" s="11" customFormat="1" ht="12.75">
      <c r="A33" s="107" t="s">
        <v>85</v>
      </c>
      <c r="B33" s="61">
        <v>0</v>
      </c>
      <c r="C33" s="61">
        <v>8788.26056</v>
      </c>
      <c r="D33" s="61">
        <v>0</v>
      </c>
      <c r="E33" s="69">
        <f t="shared" si="12"/>
        <v>0</v>
      </c>
      <c r="F33" s="63">
        <f>IF(E33&lt;=1.05,1,0)</f>
        <v>1</v>
      </c>
      <c r="G33" s="77"/>
      <c r="H33" s="78">
        <f>F33+G33</f>
        <v>1</v>
      </c>
      <c r="I33" s="61">
        <v>0</v>
      </c>
      <c r="J33" s="67">
        <v>530303.34344</v>
      </c>
      <c r="K33" s="68">
        <v>403090.00844</v>
      </c>
      <c r="L33" s="61">
        <v>68055.349</v>
      </c>
      <c r="M33" s="61"/>
      <c r="N33" s="69">
        <f>(I33-M33)/(J33-K33-L33)</f>
        <v>0</v>
      </c>
      <c r="O33" s="63">
        <f>IF(N33&lt;=1,1,0)</f>
        <v>1</v>
      </c>
      <c r="P33" s="77"/>
      <c r="Q33" s="78">
        <f>O33+P33</f>
        <v>1</v>
      </c>
      <c r="R33" s="104">
        <v>0</v>
      </c>
      <c r="S33" s="61">
        <v>539091.604</v>
      </c>
      <c r="T33" s="71">
        <v>300527.41516000003</v>
      </c>
      <c r="U33" s="69">
        <f>R33/(S33-T33)</f>
        <v>0</v>
      </c>
      <c r="V33" s="63">
        <f>IF(U33&lt;=0.15,1,0)</f>
        <v>1</v>
      </c>
      <c r="W33" s="77"/>
      <c r="X33" s="78">
        <f>V33+W33</f>
        <v>1</v>
      </c>
      <c r="Y33" s="61">
        <f>C33</f>
        <v>8788.26056</v>
      </c>
      <c r="Z33" s="73">
        <v>0</v>
      </c>
      <c r="AA33" s="73">
        <v>8788.26056</v>
      </c>
      <c r="AB33" s="73">
        <v>0</v>
      </c>
      <c r="AC33" s="73">
        <f t="shared" si="5"/>
        <v>530303.34344</v>
      </c>
      <c r="AD33" s="73">
        <f t="shared" si="5"/>
        <v>403090.00844</v>
      </c>
      <c r="AE33" s="73">
        <f t="shared" si="5"/>
        <v>68055.349</v>
      </c>
      <c r="AF33" s="73">
        <f>AC33-AD33-AE33</f>
        <v>59157.98599999996</v>
      </c>
      <c r="AG33" s="74">
        <f>AF33*10%</f>
        <v>5915.798599999996</v>
      </c>
      <c r="AH33" s="73">
        <f>IF(AA33&gt;0,AA33,0)+AG33+IF(AB33&gt;0,AB33,0)</f>
        <v>14704.059159999997</v>
      </c>
      <c r="AI33" s="108">
        <f>IF((Y33-IF(Z33&gt;0,Z33,0)-IF(AA33&gt;0,AA33,0)-IF(AB33&gt;0,AB33,0))/(AC33-AD33-AE33)&gt;0,(Y33-IF(Z33&gt;0,Z33,0)-IF(AA33&gt;0,AA33,0)-IF(AB33&gt;0,AB33,0))/(AC33-AD33-AE33),0)</f>
        <v>0</v>
      </c>
      <c r="AJ33" s="76">
        <f>IF(AI33&lt;=0.105,1.5,0)</f>
        <v>1.5</v>
      </c>
      <c r="AK33" s="109"/>
      <c r="AL33" s="78">
        <f>AJ33+AK33</f>
        <v>1.5</v>
      </c>
      <c r="AM33" s="79">
        <v>16266.8</v>
      </c>
      <c r="AN33" s="77">
        <v>16894</v>
      </c>
      <c r="AO33" s="106">
        <f>AM33/AN33</f>
        <v>0.9628743932757191</v>
      </c>
      <c r="AP33" s="81">
        <f>IF(AO33&lt;=1.005,1,0)</f>
        <v>1</v>
      </c>
      <c r="AQ33" s="109"/>
      <c r="AR33" s="110">
        <f>AP33+AQ33</f>
        <v>1</v>
      </c>
      <c r="AS33" s="79">
        <v>36687.2</v>
      </c>
      <c r="AT33" s="77">
        <v>38668</v>
      </c>
      <c r="AU33" s="106">
        <f t="shared" si="10"/>
        <v>0.9487741802006827</v>
      </c>
      <c r="AV33" s="81">
        <f>IF(AU33&lt;=1.005,1,0)</f>
        <v>1</v>
      </c>
      <c r="AW33" s="109"/>
      <c r="AX33" s="110">
        <f t="shared" si="11"/>
        <v>1</v>
      </c>
      <c r="AY33" s="105">
        <f t="shared" si="17"/>
        <v>6.5</v>
      </c>
      <c r="AZ33" s="111"/>
    </row>
    <row r="34" spans="1:52" s="11" customFormat="1" ht="12.75">
      <c r="A34" s="107" t="s">
        <v>86</v>
      </c>
      <c r="B34" s="61">
        <v>0</v>
      </c>
      <c r="C34" s="61">
        <v>1161.821</v>
      </c>
      <c r="D34" s="61">
        <v>0</v>
      </c>
      <c r="E34" s="69">
        <f t="shared" si="12"/>
        <v>0</v>
      </c>
      <c r="F34" s="63">
        <f>IF(E34&lt;=1.05,1,0)</f>
        <v>1</v>
      </c>
      <c r="G34" s="77"/>
      <c r="H34" s="78">
        <f>F34+G34</f>
        <v>1</v>
      </c>
      <c r="I34" s="61">
        <v>0</v>
      </c>
      <c r="J34" s="67">
        <v>117569.05461</v>
      </c>
      <c r="K34" s="68">
        <v>80803.05461</v>
      </c>
      <c r="L34" s="61">
        <v>23071.69</v>
      </c>
      <c r="M34" s="61"/>
      <c r="N34" s="69">
        <f>(I34-M34)/(J34-K34-L34)</f>
        <v>0</v>
      </c>
      <c r="O34" s="63">
        <f>IF(N34&lt;=1,1,0)</f>
        <v>1</v>
      </c>
      <c r="P34" s="77"/>
      <c r="Q34" s="78">
        <f>O34+P34</f>
        <v>1</v>
      </c>
      <c r="R34" s="104">
        <v>0</v>
      </c>
      <c r="S34" s="61">
        <v>118730.87561</v>
      </c>
      <c r="T34" s="71">
        <v>58569.125060000006</v>
      </c>
      <c r="U34" s="69">
        <f>R34/(S34-T34)</f>
        <v>0</v>
      </c>
      <c r="V34" s="63">
        <f>IF(U34&lt;=0.15,1,0)</f>
        <v>1</v>
      </c>
      <c r="W34" s="77"/>
      <c r="X34" s="78">
        <f>V34+W34</f>
        <v>1</v>
      </c>
      <c r="Y34" s="61">
        <f>C34</f>
        <v>1161.821</v>
      </c>
      <c r="Z34" s="73">
        <v>0</v>
      </c>
      <c r="AA34" s="73">
        <v>1161.821</v>
      </c>
      <c r="AB34" s="73">
        <v>0</v>
      </c>
      <c r="AC34" s="73">
        <f t="shared" si="5"/>
        <v>117569.05461</v>
      </c>
      <c r="AD34" s="73">
        <f t="shared" si="5"/>
        <v>80803.05461</v>
      </c>
      <c r="AE34" s="73">
        <f t="shared" si="5"/>
        <v>23071.69</v>
      </c>
      <c r="AF34" s="73">
        <f>AC34-AD34-AE34</f>
        <v>13694.310000000001</v>
      </c>
      <c r="AG34" s="74">
        <f>AF34*10%</f>
        <v>1369.4310000000003</v>
      </c>
      <c r="AH34" s="73">
        <f>IF(AA34&gt;0,AA34,0)+AG34+IF(AB34&gt;0,AB34,0)</f>
        <v>2531.2520000000004</v>
      </c>
      <c r="AI34" s="108">
        <f>IF((Y34-IF(Z34&gt;0,Z34,0)-IF(AA34&gt;0,AA34,0)-IF(AB34&gt;0,AB34,0))/(AC34-AD34-AE34)&gt;0,(Y34-IF(Z34&gt;0,Z34,0)-IF(AA34&gt;0,AA34,0)-IF(AB34&gt;0,AB34,0))/(AC34-AD34-AE34),0)</f>
        <v>0</v>
      </c>
      <c r="AJ34" s="76">
        <f>IF(AI34&lt;=0.105,1.5,0)</f>
        <v>1.5</v>
      </c>
      <c r="AK34" s="109"/>
      <c r="AL34" s="78">
        <f>AJ34+AK34</f>
        <v>1.5</v>
      </c>
      <c r="AM34" s="79">
        <v>5774.2</v>
      </c>
      <c r="AN34" s="77">
        <v>9587</v>
      </c>
      <c r="AO34" s="106">
        <f>AM34/AN34</f>
        <v>0.6022947741733597</v>
      </c>
      <c r="AP34" s="81">
        <f>IF(AO34&lt;=1.005,1,0)</f>
        <v>1</v>
      </c>
      <c r="AQ34" s="109"/>
      <c r="AR34" s="110">
        <f>AP34+AQ34</f>
        <v>1</v>
      </c>
      <c r="AS34" s="79">
        <v>17483.2</v>
      </c>
      <c r="AT34" s="77">
        <v>24201</v>
      </c>
      <c r="AU34" s="106">
        <f t="shared" si="10"/>
        <v>0.7224164290731788</v>
      </c>
      <c r="AV34" s="81">
        <f>IF(AU34&lt;=1.005,1,0)</f>
        <v>1</v>
      </c>
      <c r="AW34" s="109"/>
      <c r="AX34" s="110">
        <f t="shared" si="11"/>
        <v>1</v>
      </c>
      <c r="AY34" s="105">
        <f t="shared" si="17"/>
        <v>6.5</v>
      </c>
      <c r="AZ34" s="111"/>
    </row>
    <row r="35" spans="1:51" s="11" customFormat="1" ht="12.75">
      <c r="A35" s="107" t="s">
        <v>87</v>
      </c>
      <c r="B35" s="61">
        <v>12157</v>
      </c>
      <c r="C35" s="61">
        <v>114.60692</v>
      </c>
      <c r="D35" s="61">
        <v>12157</v>
      </c>
      <c r="E35" s="69">
        <f>IF(AND(B35=0,D35=0),0,B35/(IF(C35&gt;0,C35,0)+D35))</f>
        <v>0.9906608058140115</v>
      </c>
      <c r="F35" s="63">
        <f>IF(E35&lt;=1.05,1,0)</f>
        <v>1</v>
      </c>
      <c r="G35" s="77"/>
      <c r="H35" s="78">
        <f t="shared" si="0"/>
        <v>1</v>
      </c>
      <c r="I35" s="61">
        <v>12157</v>
      </c>
      <c r="J35" s="67">
        <v>307404.39792</v>
      </c>
      <c r="K35" s="68">
        <v>218909.69684</v>
      </c>
      <c r="L35" s="61">
        <v>29930.722</v>
      </c>
      <c r="M35" s="61">
        <v>12157</v>
      </c>
      <c r="N35" s="69">
        <f t="shared" si="19"/>
        <v>0</v>
      </c>
      <c r="O35" s="63">
        <f>IF(N35&lt;=1,1,0)</f>
        <v>1</v>
      </c>
      <c r="P35" s="77"/>
      <c r="Q35" s="78">
        <f t="shared" si="2"/>
        <v>1</v>
      </c>
      <c r="R35" s="104">
        <v>10.35</v>
      </c>
      <c r="S35" s="61">
        <v>307519.00483999995</v>
      </c>
      <c r="T35" s="71">
        <v>133400.36138</v>
      </c>
      <c r="U35" s="69">
        <f t="shared" si="3"/>
        <v>5.944222740500325E-05</v>
      </c>
      <c r="V35" s="63">
        <f>IF(U35&lt;=0.15,1,0)</f>
        <v>1</v>
      </c>
      <c r="W35" s="77"/>
      <c r="X35" s="78">
        <f t="shared" si="13"/>
        <v>1</v>
      </c>
      <c r="Y35" s="61">
        <f t="shared" si="14"/>
        <v>114.60692</v>
      </c>
      <c r="Z35" s="73">
        <v>0</v>
      </c>
      <c r="AA35" s="73">
        <v>114.60692</v>
      </c>
      <c r="AB35" s="73">
        <v>0</v>
      </c>
      <c r="AC35" s="73">
        <f t="shared" si="5"/>
        <v>307404.39792</v>
      </c>
      <c r="AD35" s="73">
        <f t="shared" si="5"/>
        <v>218909.69684</v>
      </c>
      <c r="AE35" s="73">
        <f t="shared" si="5"/>
        <v>29930.722</v>
      </c>
      <c r="AF35" s="73">
        <f t="shared" si="15"/>
        <v>58563.97908000003</v>
      </c>
      <c r="AG35" s="74">
        <f>AF35*10%</f>
        <v>5856.397908000003</v>
      </c>
      <c r="AH35" s="73">
        <f t="shared" si="28"/>
        <v>5971.004828000003</v>
      </c>
      <c r="AI35" s="108">
        <f t="shared" si="23"/>
        <v>0</v>
      </c>
      <c r="AJ35" s="76">
        <f>IF(AI35&lt;=0.105,1.5,0)</f>
        <v>1.5</v>
      </c>
      <c r="AK35" s="109"/>
      <c r="AL35" s="78">
        <f t="shared" si="8"/>
        <v>1.5</v>
      </c>
      <c r="AM35" s="79">
        <v>10535.6</v>
      </c>
      <c r="AN35" s="77">
        <v>11794</v>
      </c>
      <c r="AO35" s="106">
        <f t="shared" si="9"/>
        <v>0.8933016788197389</v>
      </c>
      <c r="AP35" s="81">
        <f>IF(AO35&lt;=1.005,1,0)</f>
        <v>1</v>
      </c>
      <c r="AQ35" s="109"/>
      <c r="AR35" s="110">
        <f t="shared" si="16"/>
        <v>1</v>
      </c>
      <c r="AS35" s="79">
        <v>25247.5</v>
      </c>
      <c r="AT35" s="77">
        <v>29118</v>
      </c>
      <c r="AU35" s="106">
        <f t="shared" si="10"/>
        <v>0.8670753485816334</v>
      </c>
      <c r="AV35" s="81">
        <f>IF(AU35&lt;=1.005,1,0)</f>
        <v>1</v>
      </c>
      <c r="AW35" s="109"/>
      <c r="AX35" s="110">
        <f t="shared" si="11"/>
        <v>1</v>
      </c>
      <c r="AY35" s="105">
        <f t="shared" si="17"/>
        <v>6.5</v>
      </c>
    </row>
    <row r="36" spans="1:51" s="11" customFormat="1" ht="12.75">
      <c r="A36" s="84" t="s">
        <v>88</v>
      </c>
      <c r="B36" s="85">
        <v>0</v>
      </c>
      <c r="C36" s="85">
        <v>7074.954</v>
      </c>
      <c r="D36" s="85">
        <v>0</v>
      </c>
      <c r="E36" s="86">
        <f t="shared" si="12"/>
        <v>0</v>
      </c>
      <c r="F36" s="87"/>
      <c r="G36" s="88">
        <f t="shared" si="32"/>
        <v>1</v>
      </c>
      <c r="H36" s="89">
        <f t="shared" si="0"/>
        <v>1</v>
      </c>
      <c r="I36" s="85">
        <v>0</v>
      </c>
      <c r="J36" s="90">
        <v>372184.09339999995</v>
      </c>
      <c r="K36" s="91">
        <v>273421.1934</v>
      </c>
      <c r="L36" s="85">
        <v>45168.209</v>
      </c>
      <c r="M36" s="85"/>
      <c r="N36" s="86">
        <f t="shared" si="19"/>
        <v>0</v>
      </c>
      <c r="O36" s="87"/>
      <c r="P36" s="88">
        <f t="shared" si="35"/>
        <v>1</v>
      </c>
      <c r="Q36" s="89">
        <f t="shared" si="2"/>
        <v>1</v>
      </c>
      <c r="R36" s="92">
        <v>0</v>
      </c>
      <c r="S36" s="85">
        <v>379259.0474</v>
      </c>
      <c r="T36" s="93">
        <v>162951.1261</v>
      </c>
      <c r="U36" s="86">
        <f t="shared" si="3"/>
        <v>0</v>
      </c>
      <c r="V36" s="87"/>
      <c r="W36" s="88">
        <f t="shared" si="33"/>
        <v>1</v>
      </c>
      <c r="X36" s="89">
        <f t="shared" si="13"/>
        <v>1</v>
      </c>
      <c r="Y36" s="85">
        <f t="shared" si="14"/>
        <v>7074.954</v>
      </c>
      <c r="Z36" s="94">
        <v>0</v>
      </c>
      <c r="AA36" s="94">
        <v>7074.954</v>
      </c>
      <c r="AB36" s="94">
        <v>0</v>
      </c>
      <c r="AC36" s="94">
        <f t="shared" si="5"/>
        <v>372184.09339999995</v>
      </c>
      <c r="AD36" s="94">
        <f t="shared" si="5"/>
        <v>273421.1934</v>
      </c>
      <c r="AE36" s="94">
        <f t="shared" si="5"/>
        <v>45168.209</v>
      </c>
      <c r="AF36" s="94">
        <f t="shared" si="15"/>
        <v>53594.69099999996</v>
      </c>
      <c r="AG36" s="94">
        <f t="shared" si="27"/>
        <v>2679.7345499999983</v>
      </c>
      <c r="AH36" s="94">
        <f t="shared" si="28"/>
        <v>9754.688549999999</v>
      </c>
      <c r="AI36" s="95">
        <f t="shared" si="23"/>
        <v>0</v>
      </c>
      <c r="AJ36" s="87"/>
      <c r="AK36" s="97">
        <f>IF(AI36&lt;=0.055,1.5,0)</f>
        <v>1.5</v>
      </c>
      <c r="AL36" s="89">
        <f t="shared" si="8"/>
        <v>1.5</v>
      </c>
      <c r="AM36" s="98">
        <v>10808.1</v>
      </c>
      <c r="AN36" s="88">
        <v>11047</v>
      </c>
      <c r="AO36" s="99">
        <f t="shared" si="9"/>
        <v>0.978374219245044</v>
      </c>
      <c r="AP36" s="87"/>
      <c r="AQ36" s="97">
        <f>IF(AO36&lt;=1.005,1,0)</f>
        <v>1</v>
      </c>
      <c r="AR36" s="100">
        <f t="shared" si="16"/>
        <v>1</v>
      </c>
      <c r="AS36" s="98">
        <v>26622.6</v>
      </c>
      <c r="AT36" s="88">
        <v>28086</v>
      </c>
      <c r="AU36" s="99">
        <f t="shared" si="10"/>
        <v>0.94789574877163</v>
      </c>
      <c r="AV36" s="87"/>
      <c r="AW36" s="97">
        <f>IF(AU36&lt;=1.005,1,0)</f>
        <v>1</v>
      </c>
      <c r="AX36" s="100">
        <f t="shared" si="11"/>
        <v>1</v>
      </c>
      <c r="AY36" s="101">
        <f t="shared" si="17"/>
        <v>6.5</v>
      </c>
    </row>
    <row r="37" spans="1:51" s="11" customFormat="1" ht="12.75">
      <c r="A37" s="84" t="s">
        <v>89</v>
      </c>
      <c r="B37" s="85">
        <v>0</v>
      </c>
      <c r="C37" s="85">
        <v>4785.96424</v>
      </c>
      <c r="D37" s="85">
        <v>0</v>
      </c>
      <c r="E37" s="86">
        <f t="shared" si="12"/>
        <v>0</v>
      </c>
      <c r="F37" s="87"/>
      <c r="G37" s="88">
        <f t="shared" si="32"/>
        <v>1</v>
      </c>
      <c r="H37" s="89">
        <f t="shared" si="0"/>
        <v>1</v>
      </c>
      <c r="I37" s="85">
        <v>0</v>
      </c>
      <c r="J37" s="90">
        <v>209465.9291</v>
      </c>
      <c r="K37" s="91">
        <v>142476.17263999998</v>
      </c>
      <c r="L37" s="85">
        <v>44851.803</v>
      </c>
      <c r="M37" s="85"/>
      <c r="N37" s="86">
        <f t="shared" si="19"/>
        <v>0</v>
      </c>
      <c r="O37" s="87"/>
      <c r="P37" s="88">
        <f t="shared" si="35"/>
        <v>1</v>
      </c>
      <c r="Q37" s="89">
        <f t="shared" si="2"/>
        <v>1</v>
      </c>
      <c r="R37" s="92">
        <v>0</v>
      </c>
      <c r="S37" s="85">
        <v>214251.89334</v>
      </c>
      <c r="T37" s="93">
        <v>104909.15271</v>
      </c>
      <c r="U37" s="86">
        <f t="shared" si="3"/>
        <v>0</v>
      </c>
      <c r="V37" s="87"/>
      <c r="W37" s="88">
        <f t="shared" si="33"/>
        <v>1</v>
      </c>
      <c r="X37" s="89">
        <f t="shared" si="13"/>
        <v>1</v>
      </c>
      <c r="Y37" s="85">
        <f t="shared" si="14"/>
        <v>4785.96424</v>
      </c>
      <c r="Z37" s="94">
        <v>0</v>
      </c>
      <c r="AA37" s="94">
        <v>4785.96424</v>
      </c>
      <c r="AB37" s="94">
        <v>0</v>
      </c>
      <c r="AC37" s="94">
        <f t="shared" si="5"/>
        <v>209465.9291</v>
      </c>
      <c r="AD37" s="94">
        <f t="shared" si="5"/>
        <v>142476.17263999998</v>
      </c>
      <c r="AE37" s="94">
        <f t="shared" si="5"/>
        <v>44851.803</v>
      </c>
      <c r="AF37" s="94">
        <f t="shared" si="15"/>
        <v>22137.953460000033</v>
      </c>
      <c r="AG37" s="94">
        <f t="shared" si="27"/>
        <v>1106.8976730000018</v>
      </c>
      <c r="AH37" s="94">
        <f t="shared" si="28"/>
        <v>5892.8619130000025</v>
      </c>
      <c r="AI37" s="95">
        <f t="shared" si="23"/>
        <v>0</v>
      </c>
      <c r="AJ37" s="87"/>
      <c r="AK37" s="97">
        <f>IF(AI37&lt;=0.055,1.5,0)</f>
        <v>1.5</v>
      </c>
      <c r="AL37" s="89">
        <f t="shared" si="8"/>
        <v>1.5</v>
      </c>
      <c r="AM37" s="98">
        <v>9459.4</v>
      </c>
      <c r="AN37" s="88">
        <v>11794</v>
      </c>
      <c r="AO37" s="99">
        <f t="shared" si="9"/>
        <v>0.8020518907919281</v>
      </c>
      <c r="AP37" s="87"/>
      <c r="AQ37" s="97">
        <f>IF(AO37&lt;=1.005,1,0)</f>
        <v>1</v>
      </c>
      <c r="AR37" s="100">
        <f t="shared" si="16"/>
        <v>1</v>
      </c>
      <c r="AS37" s="98">
        <v>23473.7</v>
      </c>
      <c r="AT37" s="88">
        <v>29118</v>
      </c>
      <c r="AU37" s="99">
        <f t="shared" si="10"/>
        <v>0.8061577031389519</v>
      </c>
      <c r="AV37" s="87"/>
      <c r="AW37" s="97">
        <f>IF(AU37&lt;=1.005,1,0)</f>
        <v>1</v>
      </c>
      <c r="AX37" s="100">
        <f t="shared" si="11"/>
        <v>1</v>
      </c>
      <c r="AY37" s="101">
        <f t="shared" si="17"/>
        <v>6.5</v>
      </c>
    </row>
    <row r="38" spans="1:51" s="11" customFormat="1" ht="12.75">
      <c r="A38" s="84" t="s">
        <v>90</v>
      </c>
      <c r="B38" s="85">
        <v>0</v>
      </c>
      <c r="C38" s="85">
        <v>1435.77298</v>
      </c>
      <c r="D38" s="85">
        <v>0</v>
      </c>
      <c r="E38" s="86">
        <f t="shared" si="12"/>
        <v>0</v>
      </c>
      <c r="F38" s="87"/>
      <c r="G38" s="88">
        <f t="shared" si="32"/>
        <v>1</v>
      </c>
      <c r="H38" s="89">
        <f t="shared" si="0"/>
        <v>1</v>
      </c>
      <c r="I38" s="85">
        <v>0</v>
      </c>
      <c r="J38" s="90">
        <v>349830.26016</v>
      </c>
      <c r="K38" s="91">
        <v>250458.26016</v>
      </c>
      <c r="L38" s="85">
        <v>61512.085</v>
      </c>
      <c r="M38" s="85"/>
      <c r="N38" s="86">
        <f t="shared" si="19"/>
        <v>0</v>
      </c>
      <c r="O38" s="87"/>
      <c r="P38" s="88">
        <f t="shared" si="35"/>
        <v>1</v>
      </c>
      <c r="Q38" s="89">
        <f t="shared" si="2"/>
        <v>1</v>
      </c>
      <c r="R38" s="92">
        <v>0</v>
      </c>
      <c r="S38" s="85">
        <v>351266.03314</v>
      </c>
      <c r="T38" s="93">
        <v>192371.11243</v>
      </c>
      <c r="U38" s="86">
        <f t="shared" si="3"/>
        <v>0</v>
      </c>
      <c r="V38" s="87"/>
      <c r="W38" s="88">
        <f t="shared" si="33"/>
        <v>1</v>
      </c>
      <c r="X38" s="89">
        <f t="shared" si="13"/>
        <v>1</v>
      </c>
      <c r="Y38" s="85">
        <f t="shared" si="14"/>
        <v>1435.77298</v>
      </c>
      <c r="Z38" s="94">
        <v>0</v>
      </c>
      <c r="AA38" s="94">
        <v>1435.77298</v>
      </c>
      <c r="AB38" s="94">
        <v>0</v>
      </c>
      <c r="AC38" s="94">
        <f t="shared" si="5"/>
        <v>349830.26016</v>
      </c>
      <c r="AD38" s="94">
        <f t="shared" si="5"/>
        <v>250458.26016</v>
      </c>
      <c r="AE38" s="94">
        <f t="shared" si="5"/>
        <v>61512.085</v>
      </c>
      <c r="AF38" s="94">
        <f t="shared" si="15"/>
        <v>37859.915</v>
      </c>
      <c r="AG38" s="94">
        <f t="shared" si="27"/>
        <v>1892.99575</v>
      </c>
      <c r="AH38" s="94">
        <f t="shared" si="28"/>
        <v>3328.76873</v>
      </c>
      <c r="AI38" s="95">
        <f t="shared" si="23"/>
        <v>0</v>
      </c>
      <c r="AJ38" s="87"/>
      <c r="AK38" s="97">
        <f>IF(AI38&lt;=0.055,1.5,0)</f>
        <v>1.5</v>
      </c>
      <c r="AL38" s="89">
        <f t="shared" si="8"/>
        <v>1.5</v>
      </c>
      <c r="AM38" s="98">
        <v>13447.5</v>
      </c>
      <c r="AN38" s="88">
        <v>13953</v>
      </c>
      <c r="AO38" s="99">
        <f t="shared" si="9"/>
        <v>0.9637712319931198</v>
      </c>
      <c r="AP38" s="87"/>
      <c r="AQ38" s="97">
        <f>IF(AO38&lt;=1.005,1,0)</f>
        <v>1</v>
      </c>
      <c r="AR38" s="100">
        <f t="shared" si="16"/>
        <v>1</v>
      </c>
      <c r="AS38" s="98">
        <v>32627.8</v>
      </c>
      <c r="AT38" s="88">
        <v>33128</v>
      </c>
      <c r="AU38" s="99">
        <f t="shared" si="10"/>
        <v>0.9849009900990099</v>
      </c>
      <c r="AV38" s="87"/>
      <c r="AW38" s="97">
        <f>IF(AU38&lt;=1.005,1,0)</f>
        <v>1</v>
      </c>
      <c r="AX38" s="100">
        <f t="shared" si="11"/>
        <v>1</v>
      </c>
      <c r="AY38" s="101">
        <f t="shared" si="17"/>
        <v>6.5</v>
      </c>
    </row>
    <row r="39" spans="1:52" s="11" customFormat="1" ht="12.75">
      <c r="A39" s="107" t="s">
        <v>91</v>
      </c>
      <c r="B39" s="61">
        <v>2250</v>
      </c>
      <c r="C39" s="61">
        <v>1101.2043700000002</v>
      </c>
      <c r="D39" s="61">
        <v>4280</v>
      </c>
      <c r="E39" s="69">
        <f>IF(AND(B39=0,D39=0),0,B39/(IF(C39&gt;0,C39,0)+D39))</f>
        <v>0.41812201234051993</v>
      </c>
      <c r="F39" s="63">
        <f>IF(E39&lt;=1.05,1,0)</f>
        <v>1</v>
      </c>
      <c r="G39" s="77"/>
      <c r="H39" s="78">
        <f>F39+G39</f>
        <v>1</v>
      </c>
      <c r="I39" s="61">
        <v>2980</v>
      </c>
      <c r="J39" s="67">
        <v>422553.02305</v>
      </c>
      <c r="K39" s="68">
        <v>304961.99905</v>
      </c>
      <c r="L39" s="61">
        <v>67997.745</v>
      </c>
      <c r="M39" s="61"/>
      <c r="N39" s="69">
        <f>(I39-M39)/(J39-K39-L39)</f>
        <v>0.060088787434281116</v>
      </c>
      <c r="O39" s="63">
        <f>IF(N39&lt;=1,1,0)</f>
        <v>1</v>
      </c>
      <c r="P39" s="77"/>
      <c r="Q39" s="78">
        <f>O39+P39</f>
        <v>1</v>
      </c>
      <c r="R39" s="104">
        <v>348.012</v>
      </c>
      <c r="S39" s="61">
        <v>423654.22742</v>
      </c>
      <c r="T39" s="71">
        <v>200456.70855</v>
      </c>
      <c r="U39" s="69">
        <f>R39/(S39-T39)</f>
        <v>0.0015592108808462938</v>
      </c>
      <c r="V39" s="63">
        <f>IF(U39&lt;=0.15,1,0)</f>
        <v>1</v>
      </c>
      <c r="W39" s="77"/>
      <c r="X39" s="78">
        <f>V39+W39</f>
        <v>1</v>
      </c>
      <c r="Y39" s="61">
        <f>C39</f>
        <v>1101.2043700000002</v>
      </c>
      <c r="Z39" s="73">
        <v>0</v>
      </c>
      <c r="AA39" s="73">
        <v>3131.20437</v>
      </c>
      <c r="AB39" s="73">
        <v>0</v>
      </c>
      <c r="AC39" s="73">
        <f t="shared" si="5"/>
        <v>422553.02305</v>
      </c>
      <c r="AD39" s="73">
        <f t="shared" si="5"/>
        <v>304961.99905</v>
      </c>
      <c r="AE39" s="73">
        <f t="shared" si="5"/>
        <v>67997.745</v>
      </c>
      <c r="AF39" s="73">
        <f>AC39-AD39-AE39</f>
        <v>49593.27900000004</v>
      </c>
      <c r="AG39" s="74">
        <f>AF39*10%</f>
        <v>4959.327900000004</v>
      </c>
      <c r="AH39" s="73">
        <f>IF(AA39&gt;0,AA39,0)+AG39+IF(AB39&gt;0,AB39,0)</f>
        <v>8090.532270000003</v>
      </c>
      <c r="AI39" s="108">
        <f>IF((Y39-IF(Z39&gt;0,Z39,0)-IF(AA39&gt;0,AA39,0)-IF(AB39&gt;0,AB39,0))/(AC39-AD39-AE39)&gt;0,(Y39-IF(Z39&gt;0,Z39,0)-IF(AA39&gt;0,AA39,0)-IF(AB39&gt;0,AB39,0))/(AC39-AD39-AE39),0)</f>
        <v>0</v>
      </c>
      <c r="AJ39" s="76">
        <f>IF(AI39&lt;=0.105,1.5,0)</f>
        <v>1.5</v>
      </c>
      <c r="AK39" s="109"/>
      <c r="AL39" s="78">
        <f>AJ39+AK39</f>
        <v>1.5</v>
      </c>
      <c r="AM39" s="79">
        <v>16892</v>
      </c>
      <c r="AN39" s="77">
        <v>16894</v>
      </c>
      <c r="AO39" s="106">
        <f>AM39/AN39</f>
        <v>0.9998816147744761</v>
      </c>
      <c r="AP39" s="81">
        <f>IF(AO39&lt;=1.005,1,0)</f>
        <v>1</v>
      </c>
      <c r="AQ39" s="109"/>
      <c r="AR39" s="110">
        <f>AP39+AQ39</f>
        <v>1</v>
      </c>
      <c r="AS39" s="79">
        <v>36208.6</v>
      </c>
      <c r="AT39" s="77">
        <v>38668</v>
      </c>
      <c r="AU39" s="106">
        <f t="shared" si="10"/>
        <v>0.9363970207923864</v>
      </c>
      <c r="AV39" s="81">
        <f>IF(AU39&lt;=1.005,1,0)</f>
        <v>1</v>
      </c>
      <c r="AW39" s="109"/>
      <c r="AX39" s="110">
        <f t="shared" si="11"/>
        <v>1</v>
      </c>
      <c r="AY39" s="105">
        <f t="shared" si="17"/>
        <v>6.5</v>
      </c>
      <c r="AZ39" s="111"/>
    </row>
    <row r="40" spans="1:52" s="11" customFormat="1" ht="12.75">
      <c r="A40" s="84" t="s">
        <v>92</v>
      </c>
      <c r="B40" s="85">
        <v>0</v>
      </c>
      <c r="C40" s="85">
        <v>9474.346</v>
      </c>
      <c r="D40" s="85">
        <v>0</v>
      </c>
      <c r="E40" s="86">
        <f>IF(AND(B40=0,D40=0),0,B40/(IF(C40&gt;0,C40,0)+D40))</f>
        <v>0</v>
      </c>
      <c r="F40" s="87"/>
      <c r="G40" s="88">
        <f>IF(E40&lt;=1.05,1,0)</f>
        <v>1</v>
      </c>
      <c r="H40" s="89">
        <f>F40+G40</f>
        <v>1</v>
      </c>
      <c r="I40" s="85">
        <v>0</v>
      </c>
      <c r="J40" s="90">
        <v>490377.88212</v>
      </c>
      <c r="K40" s="91">
        <v>327795.88212</v>
      </c>
      <c r="L40" s="85">
        <v>89570.065</v>
      </c>
      <c r="M40" s="85"/>
      <c r="N40" s="86">
        <f>(I40-M40)/(J40-K40-L40)</f>
        <v>0</v>
      </c>
      <c r="O40" s="87"/>
      <c r="P40" s="88">
        <f>IF(N40&lt;=0.5,1,0)</f>
        <v>1</v>
      </c>
      <c r="Q40" s="89">
        <f>O40+P40</f>
        <v>1</v>
      </c>
      <c r="R40" s="92">
        <v>0</v>
      </c>
      <c r="S40" s="85">
        <v>499852.22812</v>
      </c>
      <c r="T40" s="93">
        <v>250907.18913999997</v>
      </c>
      <c r="U40" s="86">
        <f>R40/(S40-T40)</f>
        <v>0</v>
      </c>
      <c r="V40" s="87"/>
      <c r="W40" s="88">
        <f>IF(U40&lt;=0.15,1,0)</f>
        <v>1</v>
      </c>
      <c r="X40" s="89">
        <f>V40+W40</f>
        <v>1</v>
      </c>
      <c r="Y40" s="85">
        <f>C40</f>
        <v>9474.346</v>
      </c>
      <c r="Z40" s="94">
        <v>0</v>
      </c>
      <c r="AA40" s="94">
        <v>9474.346</v>
      </c>
      <c r="AB40" s="94">
        <v>0</v>
      </c>
      <c r="AC40" s="94">
        <f t="shared" si="5"/>
        <v>490377.88212</v>
      </c>
      <c r="AD40" s="94">
        <f t="shared" si="5"/>
        <v>327795.88212</v>
      </c>
      <c r="AE40" s="94">
        <f t="shared" si="5"/>
        <v>89570.065</v>
      </c>
      <c r="AF40" s="94">
        <f>AC40-AD40-AE40</f>
        <v>73011.935</v>
      </c>
      <c r="AG40" s="94">
        <f>AF40*5%</f>
        <v>3650.59675</v>
      </c>
      <c r="AH40" s="94">
        <f>IF(AA40&gt;0,AA40,0)+AG40+IF(AB40&gt;0,AB40,0)</f>
        <v>13124.94275</v>
      </c>
      <c r="AI40" s="95">
        <f>IF((Y40-IF(Z40&gt;0,Z40,0)-IF(AA40&gt;0,AA40,0)-IF(AB40&gt;0,AB40,0))/(AC40-AD40-AE40)&gt;0,(Y40-IF(Z40&gt;0,Z40,0)-IF(AA40&gt;0,AA40,0)-IF(AB40&gt;0,AB40,0))/(AC40-AD40-AE40),0)</f>
        <v>0</v>
      </c>
      <c r="AJ40" s="87"/>
      <c r="AK40" s="97">
        <f>IF(AI40&lt;=0.055,1.5,0)</f>
        <v>1.5</v>
      </c>
      <c r="AL40" s="89">
        <f>AJ40+AK40</f>
        <v>1.5</v>
      </c>
      <c r="AM40" s="98">
        <v>16894</v>
      </c>
      <c r="AN40" s="88">
        <v>16894</v>
      </c>
      <c r="AO40" s="99">
        <f>AM40/AN40</f>
        <v>1</v>
      </c>
      <c r="AP40" s="87"/>
      <c r="AQ40" s="97">
        <f>IF(AO40&lt;=1.005,1,0)</f>
        <v>1</v>
      </c>
      <c r="AR40" s="100">
        <f>AP40+AQ40</f>
        <v>1</v>
      </c>
      <c r="AS40" s="98">
        <v>38584.5</v>
      </c>
      <c r="AT40" s="88">
        <v>38668</v>
      </c>
      <c r="AU40" s="99">
        <f t="shared" si="10"/>
        <v>0.9978405917037344</v>
      </c>
      <c r="AV40" s="87"/>
      <c r="AW40" s="97">
        <f>IF(AU40&lt;=1.005,1,0)</f>
        <v>1</v>
      </c>
      <c r="AX40" s="100">
        <f t="shared" si="11"/>
        <v>1</v>
      </c>
      <c r="AY40" s="101">
        <f t="shared" si="17"/>
        <v>6.5</v>
      </c>
      <c r="AZ40" s="111"/>
    </row>
    <row r="41" spans="1:51" ht="12.75">
      <c r="A41" s="102" t="s">
        <v>93</v>
      </c>
      <c r="B41" s="113">
        <v>24003.33686</v>
      </c>
      <c r="C41" s="113">
        <v>0</v>
      </c>
      <c r="D41" s="113">
        <v>25487</v>
      </c>
      <c r="E41" s="69">
        <f t="shared" si="12"/>
        <v>0.9417874547808687</v>
      </c>
      <c r="F41" s="63">
        <f>IF(E41&lt;=1.05,1,0)</f>
        <v>1</v>
      </c>
      <c r="G41" s="64"/>
      <c r="H41" s="65">
        <f t="shared" si="0"/>
        <v>1</v>
      </c>
      <c r="I41" s="113">
        <v>33913</v>
      </c>
      <c r="J41" s="114">
        <v>182242.18843</v>
      </c>
      <c r="K41" s="68">
        <v>108078.33943</v>
      </c>
      <c r="L41" s="113">
        <v>32246.293</v>
      </c>
      <c r="M41" s="113">
        <v>9913</v>
      </c>
      <c r="N41" s="69">
        <f t="shared" si="19"/>
        <v>0.5725524646522808</v>
      </c>
      <c r="O41" s="63">
        <f>IF(N41&lt;=1,1,0)</f>
        <v>1</v>
      </c>
      <c r="P41" s="64"/>
      <c r="Q41" s="65">
        <f t="shared" si="2"/>
        <v>1</v>
      </c>
      <c r="R41" s="115">
        <v>4400</v>
      </c>
      <c r="S41" s="113">
        <v>182242.18843</v>
      </c>
      <c r="T41" s="71">
        <v>70004.69393000001</v>
      </c>
      <c r="U41" s="62">
        <f t="shared" si="3"/>
        <v>0.0392025857277133</v>
      </c>
      <c r="V41" s="63">
        <f>IF(U41&lt;=0.15,1,0)</f>
        <v>1</v>
      </c>
      <c r="W41" s="64"/>
      <c r="X41" s="65">
        <f t="shared" si="13"/>
        <v>1</v>
      </c>
      <c r="Y41" s="113">
        <f t="shared" si="14"/>
        <v>0</v>
      </c>
      <c r="Z41" s="74">
        <v>0</v>
      </c>
      <c r="AA41" s="74">
        <v>1483.6631399999999</v>
      </c>
      <c r="AB41" s="74">
        <v>0</v>
      </c>
      <c r="AC41" s="74">
        <f t="shared" si="5"/>
        <v>182242.18843</v>
      </c>
      <c r="AD41" s="74">
        <f t="shared" si="5"/>
        <v>108078.33943</v>
      </c>
      <c r="AE41" s="74">
        <f t="shared" si="5"/>
        <v>32246.293</v>
      </c>
      <c r="AF41" s="74">
        <f t="shared" si="15"/>
        <v>41917.556</v>
      </c>
      <c r="AG41" s="74">
        <f>AF41*10%</f>
        <v>4191.7555999999995</v>
      </c>
      <c r="AH41" s="74">
        <f t="shared" si="28"/>
        <v>5675.418739999999</v>
      </c>
      <c r="AI41" s="116">
        <f t="shared" si="23"/>
        <v>0</v>
      </c>
      <c r="AJ41" s="81">
        <f>IF(AI41&lt;=0.105,1.5,0)</f>
        <v>1.5</v>
      </c>
      <c r="AK41" s="64"/>
      <c r="AL41" s="65">
        <f t="shared" si="8"/>
        <v>1.5</v>
      </c>
      <c r="AM41" s="117">
        <v>9045.4</v>
      </c>
      <c r="AN41" s="64">
        <v>9094</v>
      </c>
      <c r="AO41" s="80">
        <f t="shared" si="9"/>
        <v>0.9946558170222124</v>
      </c>
      <c r="AP41" s="81">
        <f>IF(AO41&lt;=1.005,1,0)</f>
        <v>1</v>
      </c>
      <c r="AQ41" s="64"/>
      <c r="AR41" s="82">
        <f t="shared" si="16"/>
        <v>1</v>
      </c>
      <c r="AS41" s="117">
        <v>20147.6</v>
      </c>
      <c r="AT41" s="64">
        <v>22028</v>
      </c>
      <c r="AU41" s="80">
        <f t="shared" si="10"/>
        <v>0.9146359179226439</v>
      </c>
      <c r="AV41" s="81">
        <f>IF(AU41&lt;=1.005,1,0)</f>
        <v>1</v>
      </c>
      <c r="AW41" s="64"/>
      <c r="AX41" s="82">
        <f t="shared" si="11"/>
        <v>1</v>
      </c>
      <c r="AY41" s="118">
        <f t="shared" si="17"/>
        <v>6.5</v>
      </c>
    </row>
    <row r="42" spans="1:51" ht="13.5" thickBot="1">
      <c r="A42" s="102" t="s">
        <v>94</v>
      </c>
      <c r="B42" s="113">
        <v>16050.022</v>
      </c>
      <c r="C42" s="113">
        <v>6608.03459</v>
      </c>
      <c r="D42" s="113">
        <v>12500</v>
      </c>
      <c r="E42" s="62">
        <f t="shared" si="12"/>
        <v>0.8399619502677487</v>
      </c>
      <c r="F42" s="63">
        <f>IF(E42&lt;=1.05,1,0)</f>
        <v>1</v>
      </c>
      <c r="G42" s="64"/>
      <c r="H42" s="65">
        <f t="shared" si="0"/>
        <v>1</v>
      </c>
      <c r="I42" s="113">
        <v>33427.2</v>
      </c>
      <c r="J42" s="114">
        <v>279586.39675</v>
      </c>
      <c r="K42" s="68">
        <v>164664.42075</v>
      </c>
      <c r="L42" s="113">
        <v>43994.553</v>
      </c>
      <c r="M42" s="113">
        <v>2927.18</v>
      </c>
      <c r="N42" s="62">
        <f>(I42-M42)/(J42-K42-L42)</f>
        <v>0.43001731502355567</v>
      </c>
      <c r="O42" s="63">
        <f>IF(N42&lt;=1,1,0)</f>
        <v>1</v>
      </c>
      <c r="P42" s="64"/>
      <c r="Q42" s="65">
        <f t="shared" si="2"/>
        <v>1</v>
      </c>
      <c r="R42" s="119">
        <v>3680.933</v>
      </c>
      <c r="S42" s="113">
        <v>286194.43133999995</v>
      </c>
      <c r="T42" s="71">
        <v>116732.14929</v>
      </c>
      <c r="U42" s="62">
        <f t="shared" si="3"/>
        <v>0.021721252395939875</v>
      </c>
      <c r="V42" s="63">
        <f>IF(U42&lt;=0.15,1,0)</f>
        <v>1</v>
      </c>
      <c r="W42" s="64"/>
      <c r="X42" s="65">
        <f t="shared" si="13"/>
        <v>1</v>
      </c>
      <c r="Y42" s="113">
        <f t="shared" si="14"/>
        <v>6608.03459</v>
      </c>
      <c r="Z42" s="74">
        <v>0</v>
      </c>
      <c r="AA42" s="74">
        <v>3058.01259</v>
      </c>
      <c r="AB42" s="74">
        <v>0</v>
      </c>
      <c r="AC42" s="74">
        <f t="shared" si="5"/>
        <v>279586.39675</v>
      </c>
      <c r="AD42" s="74">
        <f t="shared" si="5"/>
        <v>164664.42075</v>
      </c>
      <c r="AE42" s="74">
        <f t="shared" si="5"/>
        <v>43994.553</v>
      </c>
      <c r="AF42" s="74">
        <f t="shared" si="15"/>
        <v>70927.42300000002</v>
      </c>
      <c r="AG42" s="74">
        <f>AF42*10%</f>
        <v>7092.742300000003</v>
      </c>
      <c r="AH42" s="74">
        <f t="shared" si="28"/>
        <v>10150.754890000002</v>
      </c>
      <c r="AI42" s="108">
        <f t="shared" si="23"/>
        <v>0.050051473038855494</v>
      </c>
      <c r="AJ42" s="81">
        <f>IF(AI42&lt;=0.105,1.5,0)</f>
        <v>1.5</v>
      </c>
      <c r="AK42" s="64"/>
      <c r="AL42" s="65">
        <f t="shared" si="8"/>
        <v>1.5</v>
      </c>
      <c r="AM42" s="117">
        <v>8083.3</v>
      </c>
      <c r="AN42" s="64">
        <v>9094</v>
      </c>
      <c r="AO42" s="80">
        <f t="shared" si="9"/>
        <v>0.888860787332307</v>
      </c>
      <c r="AP42" s="81">
        <f>IF(AO42&lt;=1.005,1,0)</f>
        <v>1</v>
      </c>
      <c r="AQ42" s="64"/>
      <c r="AR42" s="82">
        <f t="shared" si="16"/>
        <v>1</v>
      </c>
      <c r="AS42" s="117">
        <v>18847.6</v>
      </c>
      <c r="AT42" s="64">
        <v>20087</v>
      </c>
      <c r="AU42" s="80">
        <f t="shared" si="10"/>
        <v>0.9382984019515108</v>
      </c>
      <c r="AV42" s="81">
        <f>IF(AU42&lt;=1.005,1,0)</f>
        <v>1</v>
      </c>
      <c r="AW42" s="64"/>
      <c r="AX42" s="82">
        <f t="shared" si="11"/>
        <v>1</v>
      </c>
      <c r="AY42" s="105">
        <f t="shared" si="17"/>
        <v>6.5</v>
      </c>
    </row>
    <row r="43" spans="1:51" ht="14.25" thickBot="1" thickTop="1">
      <c r="A43" s="120" t="s">
        <v>95</v>
      </c>
      <c r="B43" s="121">
        <f>SUM(B10:B42)</f>
        <v>2305361.78422</v>
      </c>
      <c r="C43" s="121">
        <f>SUM(C10:C42)</f>
        <v>405639.81849000003</v>
      </c>
      <c r="D43" s="121">
        <f>SUM(D10:D42)</f>
        <v>2301804.206</v>
      </c>
      <c r="E43" s="122"/>
      <c r="F43" s="122"/>
      <c r="G43" s="122"/>
      <c r="H43" s="123"/>
      <c r="I43" s="124">
        <f>SUM(I10:I42)</f>
        <v>2668370.2</v>
      </c>
      <c r="J43" s="122">
        <f>SUM(J10:J42)</f>
        <v>19103501.66275</v>
      </c>
      <c r="K43" s="122">
        <f>SUM(K10:K42)</f>
        <v>12881362.318699999</v>
      </c>
      <c r="L43" s="122">
        <f>SUM(L10:L42)</f>
        <v>1840250.2500000002</v>
      </c>
      <c r="M43" s="124">
        <f>SUM(M10:M42)</f>
        <v>143546.18</v>
      </c>
      <c r="N43" s="122"/>
      <c r="O43" s="122"/>
      <c r="P43" s="122"/>
      <c r="Q43" s="123"/>
      <c r="R43" s="125">
        <f>SUM(R10:R42)</f>
        <v>314566.39329</v>
      </c>
      <c r="S43" s="122">
        <f>SUM(S10:S42)</f>
        <v>19509141.481240004</v>
      </c>
      <c r="T43" s="122">
        <f>SUM(T10:T42)</f>
        <v>7953601.464440002</v>
      </c>
      <c r="U43" s="122"/>
      <c r="V43" s="122"/>
      <c r="W43" s="122"/>
      <c r="X43" s="123"/>
      <c r="Y43" s="126">
        <f aca="true" t="shared" si="36" ref="Y43:AE43">SUM(Y10:Y42)</f>
        <v>405639.81849000003</v>
      </c>
      <c r="Z43" s="127">
        <f t="shared" si="36"/>
        <v>192608</v>
      </c>
      <c r="AA43" s="127">
        <f t="shared" si="36"/>
        <v>209337.69426999998</v>
      </c>
      <c r="AB43" s="127">
        <f t="shared" si="36"/>
        <v>0</v>
      </c>
      <c r="AC43" s="127">
        <f t="shared" si="36"/>
        <v>19103501.66275</v>
      </c>
      <c r="AD43" s="127">
        <f t="shared" si="36"/>
        <v>12881362.318699999</v>
      </c>
      <c r="AE43" s="127">
        <f t="shared" si="36"/>
        <v>1840250.2500000002</v>
      </c>
      <c r="AF43" s="126"/>
      <c r="AG43" s="126"/>
      <c r="AH43" s="126"/>
      <c r="AI43" s="122"/>
      <c r="AJ43" s="122"/>
      <c r="AK43" s="122"/>
      <c r="AL43" s="122"/>
      <c r="AM43" s="127">
        <f>SUM(AM10:AM42)</f>
        <v>586144.7000000001</v>
      </c>
      <c r="AN43" s="127">
        <f>SUM(AN10:AN42)</f>
        <v>666869</v>
      </c>
      <c r="AO43" s="122"/>
      <c r="AP43" s="122"/>
      <c r="AQ43" s="122"/>
      <c r="AR43" s="122"/>
      <c r="AS43" s="127">
        <f>SUM(AS10:AS42)</f>
        <v>1326767.5</v>
      </c>
      <c r="AT43" s="127">
        <f>SUM(AT10:AT42)</f>
        <v>1465775</v>
      </c>
      <c r="AU43" s="122"/>
      <c r="AV43" s="122"/>
      <c r="AW43" s="122"/>
      <c r="AX43" s="122"/>
      <c r="AY43" s="128"/>
    </row>
    <row r="44" ht="13.5" thickTop="1">
      <c r="J44" s="129"/>
    </row>
    <row r="46" spans="10:29" ht="12.75">
      <c r="J46" s="130"/>
      <c r="AC46">
        <f>22/33</f>
        <v>0.6666666666666666</v>
      </c>
    </row>
    <row r="47" ht="12.75">
      <c r="J47" s="131"/>
    </row>
  </sheetData>
  <sheetProtection/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2016-10-24T13:47:59Z</dcterms:created>
  <dcterms:modified xsi:type="dcterms:W3CDTF">2016-10-24T13:49:04Z</dcterms:modified>
  <cp:category/>
  <cp:version/>
  <cp:contentType/>
  <cp:contentStatus/>
</cp:coreProperties>
</file>