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</sheets>
  <definedNames>
    <definedName name="_xlnm.Print_Titles" localSheetId="0">'Раздел 1'!$15:$15</definedName>
  </definedNames>
  <calcPr fullCalcOnLoad="1"/>
</workbook>
</file>

<file path=xl/sharedStrings.xml><?xml version="1.0" encoding="utf-8"?>
<sst xmlns="http://schemas.openxmlformats.org/spreadsheetml/2006/main" count="2196" uniqueCount="315">
  <si>
    <t>01.01.2013</t>
  </si>
  <si>
    <t>31.12.2012</t>
  </si>
  <si>
    <t>I раздел - кредитные соглашения и договоры, заключенные от имени субъекта Российской Федерации - "Брянская область"</t>
  </si>
  <si>
    <t>1 января 2013</t>
  </si>
  <si>
    <t>(руб.)</t>
  </si>
  <si>
    <t>№№ пп</t>
  </si>
  <si>
    <t>Вид долгового обязательства</t>
  </si>
  <si>
    <t>Объем долгового обязательства</t>
  </si>
  <si>
    <t>Основание возникновение долгового обязательства (нормативно-правовой акт области и др.)</t>
  </si>
  <si>
    <t>№ и дата кредитного договора (соглашения), договора поручительства, договора о предоставлении государственной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</si>
  <si>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</si>
  <si>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</si>
  <si>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</si>
  <si>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Изменение обязательств в течение 2012 года</t>
  </si>
  <si>
    <t>Задолженность на 01.01.2013</t>
  </si>
  <si>
    <t>Расходы на обслуживание долгового обязательства</t>
  </si>
  <si>
    <t>Примечание</t>
  </si>
  <si>
    <t>Срок пользования заемными средствами</t>
  </si>
  <si>
    <t>Процентные платежи</t>
  </si>
  <si>
    <t>Привлечено</t>
  </si>
  <si>
    <t>Погашено (основной долг)</t>
  </si>
  <si>
    <t>Вид расходов (%, купон-ные платежи, штрафные санкции)</t>
  </si>
  <si>
    <t>Дата</t>
  </si>
  <si>
    <t>Сумма</t>
  </si>
  <si>
    <t>начало</t>
  </si>
  <si>
    <t>окончание</t>
  </si>
  <si>
    <t>%   годовых</t>
  </si>
  <si>
    <t>#Н/Д</t>
  </si>
  <si>
    <t>#R/D</t>
  </si>
  <si>
    <t>0</t>
  </si>
  <si>
    <t>1</t>
  </si>
  <si>
    <t>Кредитный договор с АК Сберегательный банк Российской Федерации    (Брянское ОСБ № 8605)</t>
  </si>
  <si>
    <t>Закон Брянской области "Об областном бюджете на 2011 год и на плановый период 2012 и 2013 годов" от 06.12.2010                № 105-З</t>
  </si>
  <si>
    <t>№32/1/0001/1/11 от 31.03.2011</t>
  </si>
  <si>
    <t>Финансирование дефицита областного бюджета и погашение государственных долговых обязательств</t>
  </si>
  <si>
    <t>31.03.2011</t>
  </si>
  <si>
    <t>30.03.2012</t>
  </si>
  <si>
    <t>6,47</t>
  </si>
  <si>
    <t>Уплата процента</t>
  </si>
  <si>
    <t>26.04.2011</t>
  </si>
  <si>
    <t>27.05.2011</t>
  </si>
  <si>
    <t>27.06.2011</t>
  </si>
  <si>
    <t>27.07.2011</t>
  </si>
  <si>
    <t>25.08.2011</t>
  </si>
  <si>
    <t>27.09.2011</t>
  </si>
  <si>
    <t>26.10.2011</t>
  </si>
  <si>
    <t>25.11.2011</t>
  </si>
  <si>
    <t>26.12.2011</t>
  </si>
  <si>
    <t>25.01.2012</t>
  </si>
  <si>
    <t>24.02.2012</t>
  </si>
  <si>
    <t>12.03.2012</t>
  </si>
  <si>
    <t>2</t>
  </si>
  <si>
    <t>№60/1/0001/1/11 от 23.06.2011</t>
  </si>
  <si>
    <t>23.06.2011</t>
  </si>
  <si>
    <t>22.06.2012</t>
  </si>
  <si>
    <t>24.02.2011</t>
  </si>
  <si>
    <t>14.03.2012</t>
  </si>
  <si>
    <t>3</t>
  </si>
  <si>
    <t>№70/1/0001/1/11 от 12.07.2011</t>
  </si>
  <si>
    <t>12.07.2011</t>
  </si>
  <si>
    <t>11.07.2012</t>
  </si>
  <si>
    <t xml:space="preserve"> 6,47</t>
  </si>
  <si>
    <t>26.03.2012</t>
  </si>
  <si>
    <t>26.04.2012</t>
  </si>
  <si>
    <t>4</t>
  </si>
  <si>
    <t>Закон Брянской области "Об областном бюджете на 2011 год и на плановый период 2012 и 2013 годов" от 06.12.2010  № 105-З</t>
  </si>
  <si>
    <t>№88/1/0001/1/11 от 30.08.2011</t>
  </si>
  <si>
    <t>30.08.2011</t>
  </si>
  <si>
    <t>29.08.2012</t>
  </si>
  <si>
    <t xml:space="preserve"> 6,51</t>
  </si>
  <si>
    <t>28.05.2012</t>
  </si>
  <si>
    <t>26.06.2012</t>
  </si>
  <si>
    <t>26.07.2012</t>
  </si>
  <si>
    <t>27.08.2012</t>
  </si>
  <si>
    <t>8</t>
  </si>
  <si>
    <t>№100/1/0001/1/11 от 23.09.2011</t>
  </si>
  <si>
    <t>23.09.2011</t>
  </si>
  <si>
    <t>22.10.2012</t>
  </si>
  <si>
    <t xml:space="preserve"> 6,8</t>
  </si>
  <si>
    <t>26.09.2012</t>
  </si>
  <si>
    <t>10.10.2012</t>
  </si>
  <si>
    <t>5</t>
  </si>
  <si>
    <t>№97/1/0001/1/11 от 23.09.2011</t>
  </si>
  <si>
    <t>21.09.2012</t>
  </si>
  <si>
    <t>6,51</t>
  </si>
  <si>
    <t>20.09.2012</t>
  </si>
  <si>
    <t>6</t>
  </si>
  <si>
    <t>№98/1/0001/1/11 от 23.09.2011</t>
  </si>
  <si>
    <t xml:space="preserve"> 6,55</t>
  </si>
  <si>
    <t>7</t>
  </si>
  <si>
    <t>№99/1/0001/1/11 от 23.09.2011</t>
  </si>
  <si>
    <t>9</t>
  </si>
  <si>
    <t>№112/1/0001/1/11 от 27.10.2011</t>
  </si>
  <si>
    <t>27.10.2011</t>
  </si>
  <si>
    <t>26.10.2012</t>
  </si>
  <si>
    <t>6,88</t>
  </si>
  <si>
    <t>10</t>
  </si>
  <si>
    <t>№121/1/0001/1/11 от 15.11.2011</t>
  </si>
  <si>
    <t>15.11.2011</t>
  </si>
  <si>
    <t>14.11.2012</t>
  </si>
  <si>
    <t>6,46</t>
  </si>
  <si>
    <t>13.11.2012</t>
  </si>
  <si>
    <t>11</t>
  </si>
  <si>
    <t>№122/1/0001/1/11 от 15.11.2011</t>
  </si>
  <si>
    <t>6,96</t>
  </si>
  <si>
    <t>12</t>
  </si>
  <si>
    <t>№145/1/0001/1/11 от 16.12.2011</t>
  </si>
  <si>
    <t>16.12.2011</t>
  </si>
  <si>
    <t>14.06.2013</t>
  </si>
  <si>
    <t xml:space="preserve"> 8,5</t>
  </si>
  <si>
    <t>25.05.2012</t>
  </si>
  <si>
    <t>26.11.2012</t>
  </si>
  <si>
    <t>26.12.2012</t>
  </si>
  <si>
    <t>13</t>
  </si>
  <si>
    <t>№146/1/0001/1/11 от 16.12.2011</t>
  </si>
  <si>
    <t>14</t>
  </si>
  <si>
    <t>№147/1/0001/1/11 от 16.12.2011</t>
  </si>
  <si>
    <t>15</t>
  </si>
  <si>
    <t>№148/1/0001/1/11 от 16.12.2011</t>
  </si>
  <si>
    <t>14.12.2012</t>
  </si>
  <si>
    <t xml:space="preserve"> 6,96</t>
  </si>
  <si>
    <t>13.12.2012</t>
  </si>
  <si>
    <t>16</t>
  </si>
  <si>
    <t>№149/1/0001/1/11 от 16.12.2011</t>
  </si>
  <si>
    <t>23.12.2011</t>
  </si>
  <si>
    <t>17</t>
  </si>
  <si>
    <t>№155/1/0001/1/11 от 23.12.2011</t>
  </si>
  <si>
    <t>21.06.2013</t>
  </si>
  <si>
    <t xml:space="preserve"> 9</t>
  </si>
  <si>
    <t>21.05.2012</t>
  </si>
  <si>
    <t>18</t>
  </si>
  <si>
    <t>№156/1/0001/1/11 от 23.12.2011</t>
  </si>
  <si>
    <t>19</t>
  </si>
  <si>
    <t>Закон  брянской области "Об областном бюджете на 2012 год и на плановый период 2013 и 2014 годов" от 19.12.2011 № 131-З</t>
  </si>
  <si>
    <t>№00880012/25011100 от 14.08.2012</t>
  </si>
  <si>
    <t>14.08.2012</t>
  </si>
  <si>
    <t>13.02.2014</t>
  </si>
  <si>
    <t>20</t>
  </si>
  <si>
    <t>Закон Брянской области "Об областном бюджете на 2012 год и на плановый период 2013 и 2014 годов" от 19.12.2011 № 131-З</t>
  </si>
  <si>
    <t>№00890012/25011100 от 14.08.2012</t>
  </si>
  <si>
    <t>21</t>
  </si>
  <si>
    <t>№01030012/25011100 от 11.09.2012</t>
  </si>
  <si>
    <t>11.09.2012</t>
  </si>
  <si>
    <t>10.03.2014</t>
  </si>
  <si>
    <t>22</t>
  </si>
  <si>
    <t>№01040012/25011100 от 11.09.2012</t>
  </si>
  <si>
    <t>8,54</t>
  </si>
  <si>
    <t>23</t>
  </si>
  <si>
    <t>№01050012/25011100 от 11.09.2012</t>
  </si>
  <si>
    <t>24</t>
  </si>
  <si>
    <t>№01080012/25011100 от 19.09.2012</t>
  </si>
  <si>
    <t>19.09.2012</t>
  </si>
  <si>
    <t>18.03.2014</t>
  </si>
  <si>
    <t>25</t>
  </si>
  <si>
    <t>№01090012/25011100 от 19.09.2012</t>
  </si>
  <si>
    <t>26</t>
  </si>
  <si>
    <t>№01100012/25011100 от 19.09.2012</t>
  </si>
  <si>
    <t>8,95</t>
  </si>
  <si>
    <t>27</t>
  </si>
  <si>
    <t>№01180012/25011100 от 26.09.2012</t>
  </si>
  <si>
    <t>25.03.2014</t>
  </si>
  <si>
    <t>27.09.2012</t>
  </si>
  <si>
    <t>28</t>
  </si>
  <si>
    <t>№01190012/25011100 от 26.09.2012</t>
  </si>
  <si>
    <t>29</t>
  </si>
  <si>
    <t>Кредитное соглашение с Банком ВТБ (открытое акционерное общество) (филиал ОАО Банк ВТБ в г. Воронеже)</t>
  </si>
  <si>
    <t>№КС-725710/2012/00001 от 26.09.2012</t>
  </si>
  <si>
    <t>8,94</t>
  </si>
  <si>
    <t>28.09.2012</t>
  </si>
  <si>
    <t>23.10.2012</t>
  </si>
  <si>
    <t>21.11.2012</t>
  </si>
  <si>
    <t>21.12.2012</t>
  </si>
  <si>
    <t>30</t>
  </si>
  <si>
    <t>№КС-725710/2012/00002 от 26.09.2012</t>
  </si>
  <si>
    <t>31</t>
  </si>
  <si>
    <t>№КС-725710/2012/00003 от 26.09.2012</t>
  </si>
  <si>
    <t>32</t>
  </si>
  <si>
    <t>№КС-725710/2012/00004 от 26.09.2012</t>
  </si>
  <si>
    <t>33</t>
  </si>
  <si>
    <t>№КС-725710/2012/00006 от 08.10.2012</t>
  </si>
  <si>
    <t>08.10.2012</t>
  </si>
  <si>
    <t>04.04.2014</t>
  </si>
  <si>
    <t>34</t>
  </si>
  <si>
    <t>№КС-725710/2012/00007 от 15.10.2012</t>
  </si>
  <si>
    <t>15.10.2012</t>
  </si>
  <si>
    <t>14.04.2014</t>
  </si>
  <si>
    <t>35</t>
  </si>
  <si>
    <t>№КС-725710/2012/00013 от 12.12.2012</t>
  </si>
  <si>
    <t>12.12.2012</t>
  </si>
  <si>
    <t>11.06.2014</t>
  </si>
  <si>
    <t>9,0</t>
  </si>
  <si>
    <t>36</t>
  </si>
  <si>
    <t>№КС-725710/2012/00014 от 12.12.2012</t>
  </si>
  <si>
    <t>37</t>
  </si>
  <si>
    <t>№КС-725710/2012/00015 от 12.12.2012</t>
  </si>
  <si>
    <t>38</t>
  </si>
  <si>
    <t>№КС-725710/2012/00016 от 17.12.2012</t>
  </si>
  <si>
    <t>17.12.2012</t>
  </si>
  <si>
    <t>16.06.2014</t>
  </si>
  <si>
    <t>39</t>
  </si>
  <si>
    <t>№КС-725710/2012/00017 от 17.12.2012</t>
  </si>
  <si>
    <t>40</t>
  </si>
  <si>
    <t>№КС-725710/2012/00018 от 19.12.2012</t>
  </si>
  <si>
    <t>19.12.2012</t>
  </si>
  <si>
    <t>18.06.2014</t>
  </si>
  <si>
    <t>end</t>
  </si>
  <si>
    <t>Итого:</t>
  </si>
  <si>
    <t>Выписка</t>
  </si>
  <si>
    <t>из государственной долговой книги субъекта Российской Федерации - Брянской области</t>
  </si>
  <si>
    <t>о долговых обязательствах по состоянию на 01.01.2013 года</t>
  </si>
  <si>
    <t>II раздел- государственные займы Брянской области, осуществляемые путем выпуска ценных бумаг Брянской области</t>
  </si>
  <si>
    <t>III раздел - государственные гарантии и договоры о предоставлении государственных гарантий Брянской области</t>
  </si>
  <si>
    <t>Соглашение о субзайме между Министерством финансов РФ, Государственным комитетом РФ по строительству и жилищно-коммунальному комплексу, Брянской областью, Муниципальным образованием "город Брянск" и Муниципальным унитарным предприятием "Брянский городской водоканал" города Брянска по проекту "Городское водоснабжение и канализация"</t>
  </si>
  <si>
    <t>Постановление Брянской областной Думы от 25.12.03 № 3-1232 "О предоставлении государственной гарантии МУП "Брянскгорводоканал", письмо Министерства финансов РФ от 03.03.04 № 26-05-07/1856</t>
  </si>
  <si>
    <t>№01-01-06/26-762 от 31.12.2003</t>
  </si>
  <si>
    <t>заимствования не привлекаются</t>
  </si>
  <si>
    <t>Дополнительное соглашение о бесспорном списании денежных средств от 26.12.03 в пользу финансового управления Брянской области между финансовым управлением Брянской городской администрации и Брянским городским отделением управления федерального казначейства Министерства финансов Российской Федерации по Брянской области</t>
  </si>
  <si>
    <t>31.12.2003</t>
  </si>
  <si>
    <t>15.12.2018</t>
  </si>
  <si>
    <t>см.примечание</t>
  </si>
  <si>
    <t>Согласно п.4.6. Соглашения о субзайме ставка процента, применяемая к каждому процентному периоду, равна плавающей ставке процента, установленной МБРР, с добавлением маржи Минфина РФ в размере 2% годовых. Сумма основного долга на каждую отчетную дату пересчитывается по курсу рубля к доллару США ЦБ РФ.</t>
  </si>
  <si>
    <t>Договор о предоставлении государственной гарантии субъекта Российской Федерации -"Брянская область"(в обеспечение исполнения обязательств ООО "Дружба" перед Брянским отделением № 8605 СБ РФ)</t>
  </si>
  <si>
    <t>Закон Брянской области "О внесении изменений в Закон Брянской области "Об областном бюджете на 2006 год" от 09.08.06 №69-З</t>
  </si>
  <si>
    <t>Договор о предоставлении государственной гарантии Брянской области №599-г от 23.08.2006</t>
  </si>
  <si>
    <t>Договор ипотеки 434-з от 22.06.06, Договор ипотеки 435-з от 22.06.06, Договор залога №436-з от 22.06.06, Договор залога имущества №437-з от 22.06.06, Договор залога прав №438/2-з от 22.06.06</t>
  </si>
  <si>
    <t>23.08.2006</t>
  </si>
  <si>
    <t>08.05.2014</t>
  </si>
  <si>
    <t>Согласно п.1.2 договора о предоставлении гос.гарантии Брянской обл. гарантируются обязательства Принципала по основному долгу -  69 000 000 рублей, срочным процентам - 46 368 000. Уменьшение объема гарантии осуществляется на основании представленных ООО"Дружба" документов о погашении основного долга и срочных процентов.</t>
  </si>
  <si>
    <t>Государственная гарантия Брянской области (в обеспечение исполнения обязательств ТнВ "Ударник" перед Брянским РФ ОАО "Россельхозбанк")</t>
  </si>
  <si>
    <t>Закон Брянской области "О внесении изменений в Закон Брянской области "Об областном бюджете на 2007 год" от 07.05.07 №61-З</t>
  </si>
  <si>
    <t>Договор о предоставлении государственной гарантии Брянской области №23 от 12.07.2007</t>
  </si>
  <si>
    <t>Нет</t>
  </si>
  <si>
    <t>13.07.2007</t>
  </si>
  <si>
    <t>24.06.2015</t>
  </si>
  <si>
    <t xml:space="preserve"> 14</t>
  </si>
  <si>
    <t>Согласно п.1.2. и 2.1. гос.гарантии гарантируются обязательства Принципала по основному долгу -          30 000 000 рублей.</t>
  </si>
  <si>
    <t>Государственная гарантия Брянской области (в обеспечение исполнения обязательств ГУП "Брянская областная продовольственная корпорация" перед Акционерным коммерческим банком "ИНВЕСТИЦИОННЫЙ ТОРГОВЫЙ БАНК" (ОАО))</t>
  </si>
  <si>
    <t>Закон Брянской области  "Об областном бюджете на 2011год и на плановый период 2012и 2013годов" от 06.12.10 №105-З</t>
  </si>
  <si>
    <t>Договор о предоставлении государственной гарантии Брянской области №32 от 24.03.2011</t>
  </si>
  <si>
    <t>Договор залога от 23.03.2011г.  № 279</t>
  </si>
  <si>
    <t>24.03.2011</t>
  </si>
  <si>
    <t>30.04.2012</t>
  </si>
  <si>
    <t xml:space="preserve"> 8</t>
  </si>
  <si>
    <t>Согласно п. 2.1. гос.гарантии гарантируются обязательства Принципала по основному долгу -  100 000 000 рублей и процентам не более 6 789 253,69 рублей. Уменьшение объема гарантии осуществляется на основании представленных ГУП "БОПК" документов о погашении основного долга и срочных процентов.    В соответствии с пунктом 1.2. изменений в Государственную гарантию № 1 от 25.01.2012 года срок возврата кредита пролонгирован до 30.04.2012 года</t>
  </si>
  <si>
    <t>Закон об областном бюджете на 2012 год и на плановый период 2013 и 2014 годов от 19.12.2011 года № 131-З</t>
  </si>
  <si>
    <t>Договор о предоставлении государственной гарантии Брянской области №33 от 12.05.2012</t>
  </si>
  <si>
    <t>Договор залога от 12.05.2012г. №91</t>
  </si>
  <si>
    <t>12.05.2012</t>
  </si>
  <si>
    <t>10.07.2013</t>
  </si>
  <si>
    <t>Согласно п. 2.1. гос.гарантии гарантируются обязательства Принципала по основному долгу -  70 000 000 рублей и процентам не более 7 121 258,93 рублей. Уменьшение объема гарантии осуществляется на основании представленных ГУП "БОПК" документов о погашении основного долга и срочных процентов.</t>
  </si>
  <si>
    <t>Государственная гарантия Брянской области (в обеспечение исполнения обязательств ГУП "Брянская областная продовольственная корпорация" перед БРФ ОАО "Россельхозбанк)</t>
  </si>
  <si>
    <t>Договор о предоставлении государственной гарантии Брянской области №34 от 07.11.2012</t>
  </si>
  <si>
    <t>Договор залога № 200 от 07.11.2012г.</t>
  </si>
  <si>
    <t>07.11.2012</t>
  </si>
  <si>
    <t>30.12.2013</t>
  </si>
  <si>
    <t>10,75</t>
  </si>
  <si>
    <t>Согласно п. 2.1. государственной гарантии гарантируются обязательства Принципала по основному долгу -  50 000 000 рублей и процентам не более 3 622 270,80 рублей. Уменьшение объема гарантии осуществляется на основании представленных ГУП "БОПК" документов о погашении основного долга и срочных процентов.</t>
  </si>
  <si>
    <t>31.01.2013</t>
  </si>
  <si>
    <t>01.02.2013</t>
  </si>
  <si>
    <t>IV раздел - договоры и соглашения о получении областью бюджетных кредитов от бюджетов других уровней бюджетной системы Российской Федерации</t>
  </si>
  <si>
    <t>1 февраля 2013</t>
  </si>
  <si>
    <t>Изменение обязательств в течение 2013 года</t>
  </si>
  <si>
    <t>Соглашение с Министерством финансов РФ о предоставлении бюджету Брянской области из федерального бюджета бюджетного кредита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</si>
  <si>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Закон Брянской области "Об областном бюджете на 2009 год и на плановый период 2010 и 2011 годов"</t>
  </si>
  <si>
    <t>№01-01-06/06-165 от 10.07.2009</t>
  </si>
  <si>
    <t>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</si>
  <si>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14.07.2009</t>
  </si>
  <si>
    <t>1/4 ставки рефинансирования ЦБ РФ, действующей на день заключения Соглашения о предоставлении бюджетного кредита</t>
  </si>
  <si>
    <t>17.12.2010</t>
  </si>
  <si>
    <t>20.12.2011</t>
  </si>
  <si>
    <t>Соглашение с Министерством финансов РФ о предоставлении бюджету Брянской области из федерального бюджета бюджетного кредита для частичного покрытия дефицита бюджета субьекта Российской Федерации</t>
  </si>
  <si>
    <t>№01-01-06/06-316 от 14.10.2009</t>
  </si>
  <si>
    <t>для частичного покрытия дефицита бюджета субьекта РФ</t>
  </si>
  <si>
    <t>15.10.2009</t>
  </si>
  <si>
    <t>19.12.2011</t>
  </si>
  <si>
    <t>Закон Брянской области "Об областном бюджете на 2010 год и на плановый период 2011 и 2012 годов"</t>
  </si>
  <si>
    <t>№01-01-06/06-152 от 12.05.2010</t>
  </si>
  <si>
    <t>12.05.2010</t>
  </si>
  <si>
    <t>23.04.2015</t>
  </si>
  <si>
    <t>№01-01-06/06-290 от 09.08.2010, дополнительное соглашение № 2 от 21.12.2012 к соглашению № №01-01-06/06-290 от 09.08.2010</t>
  </si>
  <si>
    <t>09.08.2010</t>
  </si>
  <si>
    <t xml:space="preserve">Дополнительное соглашение заключено на основании постановления правительства РФ от 18 декабря 2012 г. №1325 "Об условиях и порядке проведения реструктуризации обязательств субъектов Российской Федерации перед Российской Федерацией по бюджетным кредитам"
</t>
  </si>
  <si>
    <t>с 21.12.12 - 0,5% годовых</t>
  </si>
  <si>
    <t>20.12.2012</t>
  </si>
  <si>
    <t>№01-01-06/06-515 от 13.12.2010,  дополнительное соглашение № 2 от 21.12.2012 к соглашению №01-01-06/06-515 от 13.12.2010</t>
  </si>
  <si>
    <t>14.12.2010</t>
  </si>
  <si>
    <t>22.12.2010</t>
  </si>
  <si>
    <t xml:space="preserve">Дополнительное соглашение заключено на основании постановления постановления правительства РФ от 18 декабря 2012 г. №1325 "Об условиях и порядке проведения реструктуризации обязательств субъектов Российской Федерации перед Российской Федерацией по бюджетным кредитам"
</t>
  </si>
  <si>
    <t>Закон Брянской области "Об областном бюджете на 2012 год и на плановый период 2013 и 2014   годов"</t>
  </si>
  <si>
    <t>№01-01-06/06/302 от 01.10.2012</t>
  </si>
  <si>
    <t>03.11.2012</t>
  </si>
  <si>
    <t>11.09.2015</t>
  </si>
  <si>
    <t>1/2 ставки рефинансирования ЦБ РФ, действующей на день заключения Соглашения о предоставлении бюджетного кредита</t>
  </si>
  <si>
    <t>aa</t>
  </si>
  <si>
    <t>V раздел- Итоговые значения каждого вида долга (по разделам I-IV, помесячно).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</si>
  <si>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</si>
  <si>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</si>
  <si>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</si>
  <si>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</si>
  <si>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</si>
  <si>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</si>
  <si>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</si>
  <si>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</si>
  <si>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</si>
  <si>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</si>
  <si>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</si>
  <si>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</si>
  <si>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</si>
  <si>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года</t>
  </si>
  <si>
    <t>кредитные соглашения и договоры, заключенные от имени субъекта Российской Федерации – «Брянская область»</t>
  </si>
  <si>
    <t>государственные займы Брянской области, осуществляемые путем выпуска ценных бумаг Брянской области</t>
  </si>
  <si>
    <t>государственные гарантии и договоры о предоставлении государственных гарантий Брянской области</t>
  </si>
  <si>
    <t>договоры и соглашения о получении областью бюджетных кредитов от бюджетов других уровней бюджетной системы Российской Федерации</t>
  </si>
  <si>
    <t>2012</t>
  </si>
  <si>
    <t>Всего государственный долг на 1 января 2013 года: 6 833 839 754,43 рубля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</si>
</sst>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20"/>
      <color indexed="8"/>
      <name val="Calibri"/>
      <family val="2"/>
    </font>
    <font>
      <b/>
      <sz val="16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6"/>
      <color indexed="8"/>
      <name val="Calibri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FF"/>
      <name val="Arial Cyr"/>
      <family val="0"/>
    </font>
    <font>
      <b/>
      <sz val="20"/>
      <color theme="1"/>
      <name val="Calibri"/>
      <family val="2"/>
    </font>
    <font>
      <sz val="16"/>
      <color theme="1"/>
      <name val="Calibri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top"/>
    </xf>
    <xf numFmtId="0" fontId="46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/>
    </xf>
    <xf numFmtId="49" fontId="2" fillId="33" borderId="0" xfId="0" applyNumberFormat="1" applyFont="1" applyFill="1" applyAlignment="1">
      <alignment horizontal="center" vertical="center" shrinkToFit="1"/>
    </xf>
    <xf numFmtId="0" fontId="46" fillId="33" borderId="11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 quotePrefix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46" fillId="33" borderId="12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top" wrapText="1"/>
    </xf>
    <xf numFmtId="0" fontId="46" fillId="33" borderId="17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49" fontId="4" fillId="34" borderId="18" xfId="0" applyNumberFormat="1" applyFont="1" applyFill="1" applyBorder="1" applyAlignment="1">
      <alignment vertical="top"/>
    </xf>
    <xf numFmtId="4" fontId="4" fillId="33" borderId="13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/>
    </xf>
    <xf numFmtId="0" fontId="4" fillId="33" borderId="0" xfId="0" applyFont="1" applyFill="1" applyAlignment="1">
      <alignment/>
    </xf>
    <xf numFmtId="0" fontId="37" fillId="0" borderId="0" xfId="0" applyFont="1" applyAlignment="1">
      <alignment/>
    </xf>
    <xf numFmtId="4" fontId="2" fillId="33" borderId="15" xfId="0" applyNumberFormat="1" applyFont="1" applyFill="1" applyBorder="1" applyAlignment="1">
      <alignment horizontal="right" vertical="top" wrapText="1"/>
    </xf>
    <xf numFmtId="4" fontId="2" fillId="33" borderId="16" xfId="0" applyNumberFormat="1" applyFont="1" applyFill="1" applyBorder="1" applyAlignment="1">
      <alignment horizontal="right" vertical="top" wrapText="1"/>
    </xf>
    <xf numFmtId="4" fontId="4" fillId="33" borderId="13" xfId="0" applyNumberFormat="1" applyFont="1" applyFill="1" applyBorder="1" applyAlignment="1">
      <alignment horizontal="right" vertical="top" wrapText="1"/>
    </xf>
    <xf numFmtId="0" fontId="2" fillId="33" borderId="15" xfId="0" applyFont="1" applyFill="1" applyBorder="1" applyAlignment="1">
      <alignment horizontal="center" wrapText="1"/>
    </xf>
    <xf numFmtId="4" fontId="2" fillId="33" borderId="15" xfId="0" applyNumberFormat="1" applyFont="1" applyFill="1" applyBorder="1" applyAlignment="1">
      <alignment horizontal="right" wrapText="1"/>
    </xf>
    <xf numFmtId="0" fontId="2" fillId="33" borderId="16" xfId="0" applyFont="1" applyFill="1" applyBorder="1" applyAlignment="1">
      <alignment horizontal="center" wrapText="1"/>
    </xf>
    <xf numFmtId="4" fontId="2" fillId="33" borderId="16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 vertical="top" wrapText="1"/>
    </xf>
    <xf numFmtId="14" fontId="2" fillId="33" borderId="15" xfId="0" applyNumberFormat="1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right"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right" shrinkToFi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 vertical="center" shrinkToFit="1"/>
    </xf>
    <xf numFmtId="0" fontId="24" fillId="33" borderId="0" xfId="0" applyFont="1" applyFill="1" applyAlignment="1">
      <alignment horizontal="center" vertical="center" wrapText="1"/>
    </xf>
    <xf numFmtId="14" fontId="2" fillId="33" borderId="16" xfId="0" applyNumberFormat="1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4" fontId="2" fillId="33" borderId="19" xfId="0" applyNumberFormat="1" applyFont="1" applyFill="1" applyBorder="1" applyAlignment="1">
      <alignment horizontal="right" wrapText="1"/>
    </xf>
    <xf numFmtId="0" fontId="2" fillId="33" borderId="16" xfId="0" applyFont="1" applyFill="1" applyBorder="1" applyAlignment="1" quotePrefix="1">
      <alignment horizontal="center" vertical="top" wrapText="1"/>
    </xf>
    <xf numFmtId="14" fontId="2" fillId="33" borderId="16" xfId="0" applyNumberFormat="1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wrapText="1"/>
    </xf>
    <xf numFmtId="4" fontId="2" fillId="33" borderId="20" xfId="0" applyNumberFormat="1" applyFont="1" applyFill="1" applyBorder="1" applyAlignment="1">
      <alignment horizontal="right" wrapText="1"/>
    </xf>
    <xf numFmtId="0" fontId="2" fillId="33" borderId="21" xfId="0" applyFont="1" applyFill="1" applyBorder="1" applyAlignment="1">
      <alignment horizontal="center" vertical="top" wrapText="1"/>
    </xf>
    <xf numFmtId="0" fontId="46" fillId="33" borderId="16" xfId="0" applyFont="1" applyFill="1" applyBorder="1" applyAlignment="1">
      <alignment shrinkToFit="1"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 shrinkToFit="1"/>
    </xf>
    <xf numFmtId="49" fontId="2" fillId="34" borderId="11" xfId="0" applyNumberFormat="1" applyFont="1" applyFill="1" applyBorder="1" applyAlignment="1">
      <alignment vertical="top"/>
    </xf>
    <xf numFmtId="0" fontId="2" fillId="34" borderId="15" xfId="0" applyFont="1" applyFill="1" applyBorder="1" applyAlignment="1">
      <alignment horizontal="left" vertical="top" wrapText="1"/>
    </xf>
    <xf numFmtId="4" fontId="25" fillId="34" borderId="15" xfId="0" applyNumberFormat="1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vertical="top"/>
    </xf>
    <xf numFmtId="0" fontId="2" fillId="34" borderId="17" xfId="0" applyFont="1" applyFill="1" applyBorder="1" applyAlignment="1">
      <alignment horizontal="left" vertical="top" wrapText="1"/>
    </xf>
    <xf numFmtId="4" fontId="2" fillId="34" borderId="17" xfId="0" applyNumberFormat="1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0" fontId="5" fillId="33" borderId="0" xfId="0" applyFont="1" applyFill="1" applyAlignment="1">
      <alignment vertical="top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299</xdr:row>
      <xdr:rowOff>0</xdr:rowOff>
    </xdr:from>
    <xdr:to>
      <xdr:col>9</xdr:col>
      <xdr:colOff>200025</xdr:colOff>
      <xdr:row>349</xdr:row>
      <xdr:rowOff>0</xdr:rowOff>
    </xdr:to>
    <xdr:sp>
      <xdr:nvSpPr>
        <xdr:cNvPr id="1" name="_com_type" hidden="1"/>
        <xdr:cNvSpPr>
          <a:spLocks/>
        </xdr:cNvSpPr>
      </xdr:nvSpPr>
      <xdr:spPr>
        <a:xfrm>
          <a:off x="0" y="98926650"/>
          <a:ext cx="9525000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R300"/>
  <sheetViews>
    <sheetView showGridLines="0" showZeros="0" tabSelected="1" zoomScalePageLayoutView="0" workbookViewId="0" topLeftCell="J1">
      <selection activeCell="O203" sqref="O203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3" spans="2:20" ht="26.25">
      <c r="B3" s="45" t="s">
        <v>207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2:20" ht="26.25">
      <c r="B4" s="45" t="s">
        <v>208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2:20" ht="26.25">
      <c r="B5" s="45" t="s">
        <v>209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148" ht="18">
      <c r="A6" s="1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2"/>
      <c r="V6" s="2"/>
      <c r="W6" s="2"/>
      <c r="X6" s="2"/>
      <c r="Y6" s="2"/>
      <c r="Z6" s="2"/>
      <c r="AA6" s="2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15">
      <c r="A7" s="1" t="s">
        <v>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3"/>
      <c r="V7" s="3"/>
      <c r="W7" s="3"/>
      <c r="X7" s="3"/>
      <c r="Y7" s="4"/>
      <c r="Z7" s="4"/>
      <c r="AA7" s="4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</row>
    <row r="8" spans="1:148" ht="20.25">
      <c r="A8" s="1" t="s">
        <v>0</v>
      </c>
      <c r="B8" s="41" t="s">
        <v>2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2"/>
      <c r="V8" s="2"/>
      <c r="W8" s="2"/>
      <c r="X8" s="2"/>
      <c r="Y8" s="2"/>
      <c r="Z8" s="2"/>
      <c r="AA8" s="2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ht="15">
      <c r="A9" s="5" t="s">
        <v>3</v>
      </c>
      <c r="B9" s="42" t="s">
        <v>4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3"/>
      <c r="V9" s="3"/>
      <c r="W9" s="3"/>
      <c r="X9" s="3"/>
      <c r="Y9" s="4"/>
      <c r="Z9" s="4"/>
      <c r="AA9" s="4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</row>
    <row r="10" spans="1:148" ht="95.25" customHeight="1">
      <c r="A10" s="6"/>
      <c r="B10" s="35" t="s">
        <v>5</v>
      </c>
      <c r="C10" s="32" t="s">
        <v>6</v>
      </c>
      <c r="D10" s="32" t="s">
        <v>7</v>
      </c>
      <c r="E10" s="32" t="s">
        <v>8</v>
      </c>
      <c r="F10" s="32" t="s">
        <v>9</v>
      </c>
      <c r="G10" s="32" t="s">
        <v>10</v>
      </c>
      <c r="H10" s="32" t="s">
        <v>11</v>
      </c>
      <c r="I10" s="43" t="s">
        <v>12</v>
      </c>
      <c r="J10" s="46"/>
      <c r="K10" s="44"/>
      <c r="L10" s="43" t="s">
        <v>13</v>
      </c>
      <c r="M10" s="46"/>
      <c r="N10" s="46"/>
      <c r="O10" s="44"/>
      <c r="P10" s="32" t="s">
        <v>14</v>
      </c>
      <c r="Q10" s="43" t="s">
        <v>15</v>
      </c>
      <c r="R10" s="46"/>
      <c r="S10" s="44"/>
      <c r="T10" s="32" t="s">
        <v>16</v>
      </c>
      <c r="U10" s="7"/>
      <c r="V10" s="3"/>
      <c r="W10" s="3"/>
      <c r="X10" s="3"/>
      <c r="Y10" s="4"/>
      <c r="Z10" s="4"/>
      <c r="AA10" s="4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</row>
    <row r="11" spans="1:148" ht="25.5" customHeight="1">
      <c r="A11" s="7"/>
      <c r="B11" s="36"/>
      <c r="C11" s="33"/>
      <c r="D11" s="33"/>
      <c r="E11" s="33"/>
      <c r="F11" s="33"/>
      <c r="G11" s="33"/>
      <c r="H11" s="33"/>
      <c r="I11" s="43" t="s">
        <v>17</v>
      </c>
      <c r="J11" s="44"/>
      <c r="K11" s="8" t="s">
        <v>18</v>
      </c>
      <c r="L11" s="43" t="s">
        <v>19</v>
      </c>
      <c r="M11" s="44"/>
      <c r="N11" s="43" t="s">
        <v>20</v>
      </c>
      <c r="O11" s="44"/>
      <c r="P11" s="33"/>
      <c r="Q11" s="32" t="s">
        <v>21</v>
      </c>
      <c r="R11" s="32" t="s">
        <v>22</v>
      </c>
      <c r="S11" s="32" t="s">
        <v>23</v>
      </c>
      <c r="T11" s="33"/>
      <c r="U11" s="7"/>
      <c r="V11" s="3"/>
      <c r="W11" s="3"/>
      <c r="X11" s="3"/>
      <c r="Y11" s="4"/>
      <c r="Z11" s="4"/>
      <c r="AA11" s="4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</row>
    <row r="12" spans="1:148" ht="15">
      <c r="A12" s="7"/>
      <c r="B12" s="36"/>
      <c r="C12" s="33"/>
      <c r="D12" s="33"/>
      <c r="E12" s="33"/>
      <c r="F12" s="33"/>
      <c r="G12" s="33"/>
      <c r="H12" s="33"/>
      <c r="I12" s="32" t="s">
        <v>24</v>
      </c>
      <c r="J12" s="32" t="s">
        <v>25</v>
      </c>
      <c r="K12" s="32" t="s">
        <v>26</v>
      </c>
      <c r="L12" s="32" t="s">
        <v>22</v>
      </c>
      <c r="M12" s="32" t="s">
        <v>23</v>
      </c>
      <c r="N12" s="32" t="s">
        <v>22</v>
      </c>
      <c r="O12" s="32" t="s">
        <v>23</v>
      </c>
      <c r="P12" s="33"/>
      <c r="Q12" s="33"/>
      <c r="R12" s="33"/>
      <c r="S12" s="33"/>
      <c r="T12" s="33"/>
      <c r="U12" s="7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</row>
    <row r="13" spans="1:148" ht="15">
      <c r="A13" s="7"/>
      <c r="B13" s="36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7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</row>
    <row r="14" spans="1:148" ht="15">
      <c r="A14" s="9"/>
      <c r="B14" s="37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7"/>
      <c r="V14" s="3" t="s">
        <v>27</v>
      </c>
      <c r="W14" s="3" t="s">
        <v>27</v>
      </c>
      <c r="X14" s="3" t="s">
        <v>27</v>
      </c>
      <c r="Y14" s="3" t="s">
        <v>27</v>
      </c>
      <c r="Z14" s="3" t="s">
        <v>27</v>
      </c>
      <c r="AA14" s="3" t="s">
        <v>27</v>
      </c>
      <c r="AB14" s="3" t="s">
        <v>27</v>
      </c>
      <c r="AC14" s="3" t="s">
        <v>27</v>
      </c>
      <c r="AD14" s="3" t="s">
        <v>27</v>
      </c>
      <c r="AE14" s="3" t="s">
        <v>27</v>
      </c>
      <c r="AF14" s="3" t="s">
        <v>27</v>
      </c>
      <c r="AG14" s="3" t="s">
        <v>27</v>
      </c>
      <c r="AH14" s="3" t="s">
        <v>27</v>
      </c>
      <c r="AI14" s="3" t="s">
        <v>27</v>
      </c>
      <c r="AJ14" s="3" t="s">
        <v>27</v>
      </c>
      <c r="AK14" s="3" t="s">
        <v>27</v>
      </c>
      <c r="AL14" s="3" t="s">
        <v>27</v>
      </c>
      <c r="AM14" s="3" t="s">
        <v>27</v>
      </c>
      <c r="AN14" s="3" t="s">
        <v>27</v>
      </c>
      <c r="AO14" s="3" t="s">
        <v>27</v>
      </c>
      <c r="AP14" s="3" t="s">
        <v>27</v>
      </c>
      <c r="AQ14" s="3" t="s">
        <v>27</v>
      </c>
      <c r="AR14" s="3" t="s">
        <v>27</v>
      </c>
      <c r="AS14" s="3" t="s">
        <v>27</v>
      </c>
      <c r="AT14" s="3" t="s">
        <v>27</v>
      </c>
      <c r="AU14" s="3" t="s">
        <v>27</v>
      </c>
      <c r="AV14" s="3" t="s">
        <v>27</v>
      </c>
      <c r="AW14" s="3" t="s">
        <v>27</v>
      </c>
      <c r="AX14" s="3" t="s">
        <v>27</v>
      </c>
      <c r="AY14" s="3" t="s">
        <v>27</v>
      </c>
      <c r="AZ14" s="3" t="s">
        <v>27</v>
      </c>
      <c r="BA14" s="3" t="s">
        <v>27</v>
      </c>
      <c r="BB14" s="3" t="s">
        <v>27</v>
      </c>
      <c r="BC14" s="3" t="s">
        <v>27</v>
      </c>
      <c r="BD14" s="3" t="s">
        <v>27</v>
      </c>
      <c r="BE14" s="3" t="s">
        <v>27</v>
      </c>
      <c r="BF14" s="3" t="s">
        <v>27</v>
      </c>
      <c r="BG14" s="3" t="s">
        <v>27</v>
      </c>
      <c r="BH14" s="3" t="s">
        <v>27</v>
      </c>
      <c r="BI14" s="3" t="s">
        <v>27</v>
      </c>
      <c r="BJ14" s="3" t="s">
        <v>27</v>
      </c>
      <c r="BK14" s="3" t="s">
        <v>27</v>
      </c>
      <c r="BL14" s="3" t="s">
        <v>27</v>
      </c>
      <c r="BM14" s="3" t="s">
        <v>27</v>
      </c>
      <c r="BN14" s="3" t="s">
        <v>27</v>
      </c>
      <c r="BO14" s="3" t="s">
        <v>27</v>
      </c>
      <c r="BP14" s="3" t="s">
        <v>27</v>
      </c>
      <c r="BQ14" s="3" t="s">
        <v>27</v>
      </c>
      <c r="BR14" s="3" t="s">
        <v>27</v>
      </c>
      <c r="BS14" s="3" t="s">
        <v>27</v>
      </c>
      <c r="BT14" s="3" t="s">
        <v>27</v>
      </c>
      <c r="BU14" s="3" t="s">
        <v>27</v>
      </c>
      <c r="BV14" s="3" t="s">
        <v>27</v>
      </c>
      <c r="BW14" s="3" t="s">
        <v>27</v>
      </c>
      <c r="BX14" s="3" t="s">
        <v>27</v>
      </c>
      <c r="BY14" s="3" t="s">
        <v>27</v>
      </c>
      <c r="BZ14" s="3" t="s">
        <v>27</v>
      </c>
      <c r="CA14" s="3" t="s">
        <v>27</v>
      </c>
      <c r="CB14" s="3" t="s">
        <v>27</v>
      </c>
      <c r="CC14" s="3" t="s">
        <v>27</v>
      </c>
      <c r="CD14" s="3" t="s">
        <v>27</v>
      </c>
      <c r="CE14" s="3" t="s">
        <v>27</v>
      </c>
      <c r="CF14" s="3" t="s">
        <v>27</v>
      </c>
      <c r="CG14" s="3" t="s">
        <v>27</v>
      </c>
      <c r="CH14" s="3" t="s">
        <v>27</v>
      </c>
      <c r="CI14" s="3" t="s">
        <v>27</v>
      </c>
      <c r="CJ14" s="3" t="s">
        <v>27</v>
      </c>
      <c r="CK14" s="3" t="s">
        <v>27</v>
      </c>
      <c r="CL14" s="3" t="s">
        <v>27</v>
      </c>
      <c r="CM14" s="3" t="s">
        <v>27</v>
      </c>
      <c r="CN14" s="3" t="s">
        <v>27</v>
      </c>
      <c r="CO14" s="3" t="s">
        <v>27</v>
      </c>
      <c r="CP14" s="3" t="s">
        <v>27</v>
      </c>
      <c r="CQ14" s="3" t="s">
        <v>27</v>
      </c>
      <c r="CR14" s="3" t="s">
        <v>27</v>
      </c>
      <c r="CS14" s="3" t="s">
        <v>27</v>
      </c>
      <c r="CT14" s="3" t="s">
        <v>27</v>
      </c>
      <c r="CU14" s="3" t="s">
        <v>27</v>
      </c>
      <c r="CV14" s="3" t="s">
        <v>27</v>
      </c>
      <c r="CW14" s="3" t="s">
        <v>27</v>
      </c>
      <c r="CX14" s="3" t="s">
        <v>27</v>
      </c>
      <c r="CY14" s="3" t="s">
        <v>27</v>
      </c>
      <c r="CZ14" s="3" t="s">
        <v>27</v>
      </c>
      <c r="DA14" s="3" t="s">
        <v>27</v>
      </c>
      <c r="DB14" s="3" t="s">
        <v>27</v>
      </c>
      <c r="DC14" s="3" t="s">
        <v>27</v>
      </c>
      <c r="DD14" s="3" t="s">
        <v>27</v>
      </c>
      <c r="DE14" s="3" t="s">
        <v>27</v>
      </c>
      <c r="DF14" s="3" t="s">
        <v>27</v>
      </c>
      <c r="DG14" s="3" t="s">
        <v>27</v>
      </c>
      <c r="DH14" s="3" t="s">
        <v>27</v>
      </c>
      <c r="DI14" s="3" t="s">
        <v>27</v>
      </c>
      <c r="DJ14" s="3" t="s">
        <v>27</v>
      </c>
      <c r="DK14" s="3" t="s">
        <v>27</v>
      </c>
      <c r="DL14" s="3" t="s">
        <v>27</v>
      </c>
      <c r="DM14" s="3" t="s">
        <v>27</v>
      </c>
      <c r="DN14" s="3" t="s">
        <v>27</v>
      </c>
      <c r="DO14" s="3" t="s">
        <v>27</v>
      </c>
      <c r="DP14" s="3" t="s">
        <v>27</v>
      </c>
      <c r="DQ14" s="3" t="s">
        <v>27</v>
      </c>
      <c r="DR14" s="3" t="s">
        <v>27</v>
      </c>
      <c r="DS14" s="3" t="s">
        <v>27</v>
      </c>
      <c r="DT14" s="3" t="s">
        <v>27</v>
      </c>
      <c r="DU14" s="3" t="s">
        <v>27</v>
      </c>
      <c r="DV14" s="3" t="s">
        <v>27</v>
      </c>
      <c r="DW14" s="3" t="s">
        <v>27</v>
      </c>
      <c r="DX14" s="3" t="s">
        <v>27</v>
      </c>
      <c r="DY14" s="3" t="s">
        <v>27</v>
      </c>
      <c r="DZ14" s="3" t="s">
        <v>27</v>
      </c>
      <c r="EA14" s="3" t="s">
        <v>27</v>
      </c>
      <c r="EB14" s="3" t="s">
        <v>27</v>
      </c>
      <c r="EC14" s="3" t="s">
        <v>27</v>
      </c>
      <c r="ED14" s="3" t="s">
        <v>27</v>
      </c>
      <c r="EE14" s="3" t="s">
        <v>27</v>
      </c>
      <c r="EF14" s="3" t="s">
        <v>27</v>
      </c>
      <c r="EG14" s="3" t="s">
        <v>27</v>
      </c>
      <c r="EH14" s="3" t="s">
        <v>27</v>
      </c>
      <c r="EI14" s="3" t="s">
        <v>27</v>
      </c>
      <c r="EJ14" s="3" t="s">
        <v>27</v>
      </c>
      <c r="EK14" s="3" t="s">
        <v>27</v>
      </c>
      <c r="EL14" s="3" t="s">
        <v>27</v>
      </c>
      <c r="EM14" s="3" t="s">
        <v>27</v>
      </c>
      <c r="EN14" s="3" t="s">
        <v>27</v>
      </c>
      <c r="EO14" s="3" t="s">
        <v>27</v>
      </c>
      <c r="EP14" s="3" t="s">
        <v>27</v>
      </c>
      <c r="EQ14" s="3" t="s">
        <v>27</v>
      </c>
      <c r="ER14" s="3" t="s">
        <v>27</v>
      </c>
    </row>
    <row r="15" spans="1:148" ht="15" hidden="1">
      <c r="A15" s="3" t="s">
        <v>28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</row>
    <row r="16" spans="1:148" ht="102">
      <c r="A16" s="11" t="s">
        <v>29</v>
      </c>
      <c r="B16" s="12" t="s">
        <v>30</v>
      </c>
      <c r="C16" s="13" t="s">
        <v>31</v>
      </c>
      <c r="D16" s="23">
        <f>100000000</f>
        <v>100000000</v>
      </c>
      <c r="E16" s="13" t="s">
        <v>32</v>
      </c>
      <c r="F16" s="13" t="s">
        <v>33</v>
      </c>
      <c r="G16" s="13" t="s">
        <v>34</v>
      </c>
      <c r="H16" s="13"/>
      <c r="I16" s="13" t="s">
        <v>35</v>
      </c>
      <c r="J16" s="13" t="s">
        <v>36</v>
      </c>
      <c r="K16" s="12" t="s">
        <v>37</v>
      </c>
      <c r="L16" s="13"/>
      <c r="M16" s="23">
        <f>0</f>
        <v>0</v>
      </c>
      <c r="N16" s="13"/>
      <c r="O16" s="23">
        <f>0</f>
        <v>0</v>
      </c>
      <c r="P16" s="23">
        <f>0</f>
        <v>0</v>
      </c>
      <c r="Q16" s="26" t="s">
        <v>38</v>
      </c>
      <c r="R16" s="26" t="s">
        <v>39</v>
      </c>
      <c r="S16" s="27">
        <f>478602.74</f>
        <v>478602.74</v>
      </c>
      <c r="T16" s="13"/>
      <c r="U16" s="7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</row>
    <row r="17" spans="1:148" ht="15">
      <c r="A17" s="14" t="s">
        <v>30</v>
      </c>
      <c r="B17" s="15"/>
      <c r="C17" s="15"/>
      <c r="D17" s="24">
        <f>0</f>
        <v>0</v>
      </c>
      <c r="E17" s="15"/>
      <c r="F17" s="15"/>
      <c r="G17" s="15"/>
      <c r="H17" s="15"/>
      <c r="I17" s="15"/>
      <c r="J17" s="15"/>
      <c r="K17" s="15"/>
      <c r="L17" s="15"/>
      <c r="M17" s="24">
        <f>0</f>
        <v>0</v>
      </c>
      <c r="N17" s="15"/>
      <c r="O17" s="24">
        <f>0</f>
        <v>0</v>
      </c>
      <c r="P17" s="24">
        <f>0</f>
        <v>0</v>
      </c>
      <c r="Q17" s="28" t="s">
        <v>38</v>
      </c>
      <c r="R17" s="28" t="s">
        <v>40</v>
      </c>
      <c r="S17" s="29">
        <f>531780.82</f>
        <v>531780.82</v>
      </c>
      <c r="T17" s="15"/>
      <c r="U17" s="7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</row>
    <row r="18" spans="1:148" ht="15">
      <c r="A18" s="14" t="s">
        <v>30</v>
      </c>
      <c r="B18" s="15"/>
      <c r="C18" s="15"/>
      <c r="D18" s="24">
        <f>0</f>
        <v>0</v>
      </c>
      <c r="E18" s="15"/>
      <c r="F18" s="15"/>
      <c r="G18" s="15"/>
      <c r="H18" s="15"/>
      <c r="I18" s="15"/>
      <c r="J18" s="15"/>
      <c r="K18" s="15"/>
      <c r="L18" s="15"/>
      <c r="M18" s="24">
        <f>0</f>
        <v>0</v>
      </c>
      <c r="N18" s="15"/>
      <c r="O18" s="24">
        <f>0</f>
        <v>0</v>
      </c>
      <c r="P18" s="24">
        <f>0</f>
        <v>0</v>
      </c>
      <c r="Q18" s="28" t="s">
        <v>38</v>
      </c>
      <c r="R18" s="28" t="s">
        <v>41</v>
      </c>
      <c r="S18" s="29">
        <f>549506.85</f>
        <v>549506.85</v>
      </c>
      <c r="T18" s="15"/>
      <c r="U18" s="7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</row>
    <row r="19" spans="1:148" ht="15">
      <c r="A19" s="14" t="s">
        <v>30</v>
      </c>
      <c r="B19" s="15"/>
      <c r="C19" s="15"/>
      <c r="D19" s="24">
        <f>0</f>
        <v>0</v>
      </c>
      <c r="E19" s="15"/>
      <c r="F19" s="15"/>
      <c r="G19" s="15"/>
      <c r="H19" s="15"/>
      <c r="I19" s="15"/>
      <c r="J19" s="15"/>
      <c r="K19" s="15"/>
      <c r="L19" s="15"/>
      <c r="M19" s="24">
        <f>0</f>
        <v>0</v>
      </c>
      <c r="N19" s="15"/>
      <c r="O19" s="24">
        <f>0</f>
        <v>0</v>
      </c>
      <c r="P19" s="24">
        <f>0</f>
        <v>0</v>
      </c>
      <c r="Q19" s="28" t="s">
        <v>38</v>
      </c>
      <c r="R19" s="28" t="s">
        <v>42</v>
      </c>
      <c r="S19" s="29">
        <f>531780.82</f>
        <v>531780.82</v>
      </c>
      <c r="T19" s="15"/>
      <c r="U19" s="7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</row>
    <row r="20" spans="1:148" ht="15">
      <c r="A20" s="14" t="s">
        <v>30</v>
      </c>
      <c r="B20" s="15"/>
      <c r="C20" s="15"/>
      <c r="D20" s="24">
        <f>0</f>
        <v>0</v>
      </c>
      <c r="E20" s="15"/>
      <c r="F20" s="15"/>
      <c r="G20" s="15"/>
      <c r="H20" s="15"/>
      <c r="I20" s="15"/>
      <c r="J20" s="15"/>
      <c r="K20" s="15"/>
      <c r="L20" s="15"/>
      <c r="M20" s="24">
        <f>0</f>
        <v>0</v>
      </c>
      <c r="N20" s="15"/>
      <c r="O20" s="24">
        <f>0</f>
        <v>0</v>
      </c>
      <c r="P20" s="24">
        <f>0</f>
        <v>0</v>
      </c>
      <c r="Q20" s="28" t="s">
        <v>38</v>
      </c>
      <c r="R20" s="28" t="s">
        <v>43</v>
      </c>
      <c r="S20" s="29">
        <f>549506.85</f>
        <v>549506.85</v>
      </c>
      <c r="T20" s="15"/>
      <c r="U20" s="7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</row>
    <row r="21" spans="1:148" ht="15">
      <c r="A21" s="14" t="s">
        <v>30</v>
      </c>
      <c r="B21" s="15"/>
      <c r="C21" s="15"/>
      <c r="D21" s="24">
        <f>0</f>
        <v>0</v>
      </c>
      <c r="E21" s="15"/>
      <c r="F21" s="15"/>
      <c r="G21" s="15"/>
      <c r="H21" s="15"/>
      <c r="I21" s="15"/>
      <c r="J21" s="15"/>
      <c r="K21" s="15"/>
      <c r="L21" s="15"/>
      <c r="M21" s="24">
        <f>0</f>
        <v>0</v>
      </c>
      <c r="N21" s="15"/>
      <c r="O21" s="24">
        <f>0</f>
        <v>0</v>
      </c>
      <c r="P21" s="24">
        <f>0</f>
        <v>0</v>
      </c>
      <c r="Q21" s="28" t="s">
        <v>38</v>
      </c>
      <c r="R21" s="28" t="s">
        <v>44</v>
      </c>
      <c r="S21" s="29">
        <f>549506.85</f>
        <v>549506.85</v>
      </c>
      <c r="T21" s="15"/>
      <c r="U21" s="7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</row>
    <row r="22" spans="1:148" ht="15">
      <c r="A22" s="14" t="s">
        <v>30</v>
      </c>
      <c r="B22" s="15"/>
      <c r="C22" s="15"/>
      <c r="D22" s="24">
        <f>0</f>
        <v>0</v>
      </c>
      <c r="E22" s="15"/>
      <c r="F22" s="15"/>
      <c r="G22" s="15"/>
      <c r="H22" s="15"/>
      <c r="I22" s="15"/>
      <c r="J22" s="15"/>
      <c r="K22" s="15"/>
      <c r="L22" s="15"/>
      <c r="M22" s="24">
        <f>0</f>
        <v>0</v>
      </c>
      <c r="N22" s="15"/>
      <c r="O22" s="24">
        <f>0</f>
        <v>0</v>
      </c>
      <c r="P22" s="24">
        <f>0</f>
        <v>0</v>
      </c>
      <c r="Q22" s="28" t="s">
        <v>38</v>
      </c>
      <c r="R22" s="28" t="s">
        <v>45</v>
      </c>
      <c r="S22" s="29">
        <f>531780.82</f>
        <v>531780.82</v>
      </c>
      <c r="T22" s="15"/>
      <c r="U22" s="7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</row>
    <row r="23" spans="1:148" ht="15">
      <c r="A23" s="14" t="s">
        <v>30</v>
      </c>
      <c r="B23" s="15"/>
      <c r="C23" s="15"/>
      <c r="D23" s="24">
        <f>0</f>
        <v>0</v>
      </c>
      <c r="E23" s="15"/>
      <c r="F23" s="15"/>
      <c r="G23" s="15"/>
      <c r="H23" s="15"/>
      <c r="I23" s="15"/>
      <c r="J23" s="15"/>
      <c r="K23" s="15"/>
      <c r="L23" s="15"/>
      <c r="M23" s="24">
        <f>0</f>
        <v>0</v>
      </c>
      <c r="N23" s="15"/>
      <c r="O23" s="24">
        <f>0</f>
        <v>0</v>
      </c>
      <c r="P23" s="24">
        <f>0</f>
        <v>0</v>
      </c>
      <c r="Q23" s="28" t="s">
        <v>38</v>
      </c>
      <c r="R23" s="28" t="s">
        <v>46</v>
      </c>
      <c r="S23" s="29">
        <f>549506.85</f>
        <v>549506.85</v>
      </c>
      <c r="T23" s="15"/>
      <c r="U23" s="7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</row>
    <row r="24" spans="1:148" ht="15">
      <c r="A24" s="14" t="s">
        <v>30</v>
      </c>
      <c r="B24" s="15"/>
      <c r="C24" s="15"/>
      <c r="D24" s="24">
        <f>0</f>
        <v>0</v>
      </c>
      <c r="E24" s="15"/>
      <c r="F24" s="15"/>
      <c r="G24" s="15"/>
      <c r="H24" s="15"/>
      <c r="I24" s="15"/>
      <c r="J24" s="15"/>
      <c r="K24" s="15"/>
      <c r="L24" s="15"/>
      <c r="M24" s="24">
        <f>0</f>
        <v>0</v>
      </c>
      <c r="N24" s="15"/>
      <c r="O24" s="24">
        <f>0</f>
        <v>0</v>
      </c>
      <c r="P24" s="24">
        <f>0</f>
        <v>0</v>
      </c>
      <c r="Q24" s="28" t="s">
        <v>38</v>
      </c>
      <c r="R24" s="28" t="s">
        <v>47</v>
      </c>
      <c r="S24" s="29">
        <f>531780.82</f>
        <v>531780.82</v>
      </c>
      <c r="T24" s="15"/>
      <c r="U24" s="7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</row>
    <row r="25" spans="1:148" ht="15">
      <c r="A25" s="14" t="s">
        <v>30</v>
      </c>
      <c r="B25" s="15"/>
      <c r="C25" s="15"/>
      <c r="D25" s="24">
        <f>0</f>
        <v>0</v>
      </c>
      <c r="E25" s="15"/>
      <c r="F25" s="15"/>
      <c r="G25" s="15"/>
      <c r="H25" s="15"/>
      <c r="I25" s="15"/>
      <c r="J25" s="15"/>
      <c r="K25" s="15"/>
      <c r="L25" s="15"/>
      <c r="M25" s="24">
        <f>0</f>
        <v>0</v>
      </c>
      <c r="N25" s="15"/>
      <c r="O25" s="24">
        <f>0</f>
        <v>0</v>
      </c>
      <c r="P25" s="24">
        <f>0</f>
        <v>0</v>
      </c>
      <c r="Q25" s="28" t="s">
        <v>38</v>
      </c>
      <c r="R25" s="28" t="s">
        <v>48</v>
      </c>
      <c r="S25" s="29">
        <f>548199.19</f>
        <v>548199.19</v>
      </c>
      <c r="T25" s="15"/>
      <c r="U25" s="7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</row>
    <row r="26" spans="1:148" ht="15">
      <c r="A26" s="14" t="s">
        <v>30</v>
      </c>
      <c r="B26" s="15"/>
      <c r="C26" s="15"/>
      <c r="D26" s="24">
        <f>0</f>
        <v>0</v>
      </c>
      <c r="E26" s="15"/>
      <c r="F26" s="15"/>
      <c r="G26" s="15"/>
      <c r="H26" s="15"/>
      <c r="I26" s="15"/>
      <c r="J26" s="15"/>
      <c r="K26" s="15"/>
      <c r="L26" s="15"/>
      <c r="M26" s="24">
        <f>0</f>
        <v>0</v>
      </c>
      <c r="N26" s="15"/>
      <c r="O26" s="24">
        <f>0</f>
        <v>0</v>
      </c>
      <c r="P26" s="24">
        <f>0</f>
        <v>0</v>
      </c>
      <c r="Q26" s="28" t="s">
        <v>38</v>
      </c>
      <c r="R26" s="28" t="s">
        <v>49</v>
      </c>
      <c r="S26" s="29">
        <f>548005.46</f>
        <v>548005.46</v>
      </c>
      <c r="T26" s="15"/>
      <c r="U26" s="7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</row>
    <row r="27" spans="1:148" ht="15">
      <c r="A27" s="14" t="s">
        <v>30</v>
      </c>
      <c r="B27" s="15"/>
      <c r="C27" s="15"/>
      <c r="D27" s="24">
        <f>0</f>
        <v>0</v>
      </c>
      <c r="E27" s="15"/>
      <c r="F27" s="15"/>
      <c r="G27" s="15"/>
      <c r="H27" s="15"/>
      <c r="I27" s="15"/>
      <c r="J27" s="15"/>
      <c r="K27" s="15"/>
      <c r="L27" s="15"/>
      <c r="M27" s="24">
        <f>0</f>
        <v>0</v>
      </c>
      <c r="N27" s="15"/>
      <c r="O27" s="24">
        <f>0</f>
        <v>0</v>
      </c>
      <c r="P27" s="24">
        <f>0</f>
        <v>0</v>
      </c>
      <c r="Q27" s="28" t="s">
        <v>38</v>
      </c>
      <c r="R27" s="28" t="s">
        <v>50</v>
      </c>
      <c r="S27" s="29">
        <f>247486.34</f>
        <v>247486.34</v>
      </c>
      <c r="T27" s="15"/>
      <c r="U27" s="7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</row>
    <row r="28" spans="1:148" ht="102">
      <c r="A28" s="11" t="s">
        <v>29</v>
      </c>
      <c r="B28" s="12" t="s">
        <v>51</v>
      </c>
      <c r="C28" s="13" t="s">
        <v>31</v>
      </c>
      <c r="D28" s="23">
        <f>150000000</f>
        <v>150000000</v>
      </c>
      <c r="E28" s="13" t="s">
        <v>32</v>
      </c>
      <c r="F28" s="13" t="s">
        <v>52</v>
      </c>
      <c r="G28" s="13" t="s">
        <v>34</v>
      </c>
      <c r="H28" s="13"/>
      <c r="I28" s="13" t="s">
        <v>53</v>
      </c>
      <c r="J28" s="13" t="s">
        <v>54</v>
      </c>
      <c r="K28" s="12" t="s">
        <v>37</v>
      </c>
      <c r="L28" s="13"/>
      <c r="M28" s="23">
        <f>0</f>
        <v>0</v>
      </c>
      <c r="N28" s="13"/>
      <c r="O28" s="23">
        <f>0</f>
        <v>0</v>
      </c>
      <c r="P28" s="23">
        <f>0</f>
        <v>0</v>
      </c>
      <c r="Q28" s="26" t="s">
        <v>38</v>
      </c>
      <c r="R28" s="26" t="s">
        <v>55</v>
      </c>
      <c r="S28" s="27">
        <f>822008.2</f>
        <v>822008.2</v>
      </c>
      <c r="T28" s="13"/>
      <c r="U28" s="7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</row>
    <row r="29" spans="1:148" ht="15">
      <c r="A29" s="14" t="s">
        <v>30</v>
      </c>
      <c r="B29" s="15"/>
      <c r="C29" s="15"/>
      <c r="D29" s="24">
        <f>0</f>
        <v>0</v>
      </c>
      <c r="E29" s="15"/>
      <c r="F29" s="15"/>
      <c r="G29" s="15"/>
      <c r="H29" s="15"/>
      <c r="I29" s="15"/>
      <c r="J29" s="15"/>
      <c r="K29" s="15"/>
      <c r="L29" s="15"/>
      <c r="M29" s="24">
        <f>0</f>
        <v>0</v>
      </c>
      <c r="N29" s="15"/>
      <c r="O29" s="24">
        <f>0</f>
        <v>0</v>
      </c>
      <c r="P29" s="24">
        <f>0</f>
        <v>0</v>
      </c>
      <c r="Q29" s="28" t="s">
        <v>38</v>
      </c>
      <c r="R29" s="28" t="s">
        <v>41</v>
      </c>
      <c r="S29" s="29">
        <f>106356.16</f>
        <v>106356.16</v>
      </c>
      <c r="T29" s="15"/>
      <c r="U29" s="7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</row>
    <row r="30" spans="1:148" ht="15">
      <c r="A30" s="14" t="s">
        <v>30</v>
      </c>
      <c r="B30" s="15"/>
      <c r="C30" s="15"/>
      <c r="D30" s="24">
        <f>0</f>
        <v>0</v>
      </c>
      <c r="E30" s="15"/>
      <c r="F30" s="15"/>
      <c r="G30" s="15"/>
      <c r="H30" s="15"/>
      <c r="I30" s="15"/>
      <c r="J30" s="15"/>
      <c r="K30" s="15"/>
      <c r="L30" s="15"/>
      <c r="M30" s="24">
        <f>0</f>
        <v>0</v>
      </c>
      <c r="N30" s="15"/>
      <c r="O30" s="24">
        <f>0</f>
        <v>0</v>
      </c>
      <c r="P30" s="24">
        <f>0</f>
        <v>0</v>
      </c>
      <c r="Q30" s="28" t="s">
        <v>38</v>
      </c>
      <c r="R30" s="28" t="s">
        <v>42</v>
      </c>
      <c r="S30" s="29">
        <f>797671.23</f>
        <v>797671.23</v>
      </c>
      <c r="T30" s="15"/>
      <c r="U30" s="7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</row>
    <row r="31" spans="1:148" ht="15">
      <c r="A31" s="14" t="s">
        <v>30</v>
      </c>
      <c r="B31" s="15"/>
      <c r="C31" s="15"/>
      <c r="D31" s="24">
        <f>0</f>
        <v>0</v>
      </c>
      <c r="E31" s="15"/>
      <c r="F31" s="15"/>
      <c r="G31" s="15"/>
      <c r="H31" s="15"/>
      <c r="I31" s="15"/>
      <c r="J31" s="15"/>
      <c r="K31" s="15"/>
      <c r="L31" s="15"/>
      <c r="M31" s="24">
        <f>0</f>
        <v>0</v>
      </c>
      <c r="N31" s="15"/>
      <c r="O31" s="24">
        <f>0</f>
        <v>0</v>
      </c>
      <c r="P31" s="24">
        <f>0</f>
        <v>0</v>
      </c>
      <c r="Q31" s="28" t="s">
        <v>38</v>
      </c>
      <c r="R31" s="28" t="s">
        <v>43</v>
      </c>
      <c r="S31" s="29">
        <f>824260.27</f>
        <v>824260.27</v>
      </c>
      <c r="T31" s="15"/>
      <c r="U31" s="7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</row>
    <row r="32" spans="1:148" ht="15">
      <c r="A32" s="14" t="s">
        <v>30</v>
      </c>
      <c r="B32" s="15"/>
      <c r="C32" s="15"/>
      <c r="D32" s="24">
        <f>0</f>
        <v>0</v>
      </c>
      <c r="E32" s="15"/>
      <c r="F32" s="15"/>
      <c r="G32" s="15"/>
      <c r="H32" s="15"/>
      <c r="I32" s="15"/>
      <c r="J32" s="15"/>
      <c r="K32" s="15"/>
      <c r="L32" s="15"/>
      <c r="M32" s="24">
        <f>0</f>
        <v>0</v>
      </c>
      <c r="N32" s="15"/>
      <c r="O32" s="24">
        <f>0</f>
        <v>0</v>
      </c>
      <c r="P32" s="24">
        <f>0</f>
        <v>0</v>
      </c>
      <c r="Q32" s="28" t="s">
        <v>38</v>
      </c>
      <c r="R32" s="28" t="s">
        <v>44</v>
      </c>
      <c r="S32" s="29">
        <f>824260.27</f>
        <v>824260.27</v>
      </c>
      <c r="T32" s="15"/>
      <c r="U32" s="7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</row>
    <row r="33" spans="1:148" ht="15">
      <c r="A33" s="14" t="s">
        <v>30</v>
      </c>
      <c r="B33" s="15"/>
      <c r="C33" s="15"/>
      <c r="D33" s="24">
        <f>0</f>
        <v>0</v>
      </c>
      <c r="E33" s="15"/>
      <c r="F33" s="15"/>
      <c r="G33" s="15"/>
      <c r="H33" s="15"/>
      <c r="I33" s="15"/>
      <c r="J33" s="15"/>
      <c r="K33" s="15"/>
      <c r="L33" s="15"/>
      <c r="M33" s="24">
        <f>0</f>
        <v>0</v>
      </c>
      <c r="N33" s="15"/>
      <c r="O33" s="24">
        <f>0</f>
        <v>0</v>
      </c>
      <c r="P33" s="24">
        <f>0</f>
        <v>0</v>
      </c>
      <c r="Q33" s="28" t="s">
        <v>38</v>
      </c>
      <c r="R33" s="28" t="s">
        <v>45</v>
      </c>
      <c r="S33" s="29">
        <f>797671.23</f>
        <v>797671.23</v>
      </c>
      <c r="T33" s="15"/>
      <c r="U33" s="7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</row>
    <row r="34" spans="1:148" ht="15">
      <c r="A34" s="14" t="s">
        <v>30</v>
      </c>
      <c r="B34" s="15"/>
      <c r="C34" s="15"/>
      <c r="D34" s="24">
        <f>0</f>
        <v>0</v>
      </c>
      <c r="E34" s="15"/>
      <c r="F34" s="15"/>
      <c r="G34" s="15"/>
      <c r="H34" s="15"/>
      <c r="I34" s="15"/>
      <c r="J34" s="15"/>
      <c r="K34" s="15"/>
      <c r="L34" s="15"/>
      <c r="M34" s="24">
        <f>0</f>
        <v>0</v>
      </c>
      <c r="N34" s="15"/>
      <c r="O34" s="24">
        <f>0</f>
        <v>0</v>
      </c>
      <c r="P34" s="24">
        <f>0</f>
        <v>0</v>
      </c>
      <c r="Q34" s="28" t="s">
        <v>38</v>
      </c>
      <c r="R34" s="28" t="s">
        <v>46</v>
      </c>
      <c r="S34" s="29">
        <f>824260.27</f>
        <v>824260.27</v>
      </c>
      <c r="T34" s="15"/>
      <c r="U34" s="7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</row>
    <row r="35" spans="1:148" ht="15">
      <c r="A35" s="14" t="s">
        <v>30</v>
      </c>
      <c r="B35" s="15"/>
      <c r="C35" s="15"/>
      <c r="D35" s="24">
        <f>0</f>
        <v>0</v>
      </c>
      <c r="E35" s="15"/>
      <c r="F35" s="15"/>
      <c r="G35" s="15"/>
      <c r="H35" s="15"/>
      <c r="I35" s="15"/>
      <c r="J35" s="15"/>
      <c r="K35" s="15"/>
      <c r="L35" s="15"/>
      <c r="M35" s="24">
        <f>0</f>
        <v>0</v>
      </c>
      <c r="N35" s="15"/>
      <c r="O35" s="24">
        <f>0</f>
        <v>0</v>
      </c>
      <c r="P35" s="24">
        <f>0</f>
        <v>0</v>
      </c>
      <c r="Q35" s="28" t="s">
        <v>38</v>
      </c>
      <c r="R35" s="28" t="s">
        <v>47</v>
      </c>
      <c r="S35" s="29">
        <f>797671.23</f>
        <v>797671.23</v>
      </c>
      <c r="T35" s="15"/>
      <c r="U35" s="7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</row>
    <row r="36" spans="1:148" ht="15">
      <c r="A36" s="14" t="s">
        <v>30</v>
      </c>
      <c r="B36" s="15"/>
      <c r="C36" s="15"/>
      <c r="D36" s="24">
        <f>0</f>
        <v>0</v>
      </c>
      <c r="E36" s="15"/>
      <c r="F36" s="15"/>
      <c r="G36" s="15"/>
      <c r="H36" s="15"/>
      <c r="I36" s="15"/>
      <c r="J36" s="15"/>
      <c r="K36" s="15"/>
      <c r="L36" s="15"/>
      <c r="M36" s="24">
        <f>0</f>
        <v>0</v>
      </c>
      <c r="N36" s="15"/>
      <c r="O36" s="24">
        <f>0</f>
        <v>0</v>
      </c>
      <c r="P36" s="24">
        <f>0</f>
        <v>0</v>
      </c>
      <c r="Q36" s="28" t="s">
        <v>38</v>
      </c>
      <c r="R36" s="28" t="s">
        <v>48</v>
      </c>
      <c r="S36" s="29">
        <f>822298.78</f>
        <v>822298.78</v>
      </c>
      <c r="T36" s="15"/>
      <c r="U36" s="7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</row>
    <row r="37" spans="1:148" ht="15">
      <c r="A37" s="14" t="s">
        <v>30</v>
      </c>
      <c r="B37" s="15"/>
      <c r="C37" s="15"/>
      <c r="D37" s="24">
        <f>0</f>
        <v>0</v>
      </c>
      <c r="E37" s="15"/>
      <c r="F37" s="15"/>
      <c r="G37" s="15"/>
      <c r="H37" s="15"/>
      <c r="I37" s="15"/>
      <c r="J37" s="15"/>
      <c r="K37" s="15"/>
      <c r="L37" s="15"/>
      <c r="M37" s="24">
        <f>0</f>
        <v>0</v>
      </c>
      <c r="N37" s="15"/>
      <c r="O37" s="24">
        <f>0</f>
        <v>0</v>
      </c>
      <c r="P37" s="24">
        <f>0</f>
        <v>0</v>
      </c>
      <c r="Q37" s="28" t="s">
        <v>38</v>
      </c>
      <c r="R37" s="28" t="s">
        <v>56</v>
      </c>
      <c r="S37" s="29">
        <f>424262.3</f>
        <v>424262.3</v>
      </c>
      <c r="T37" s="15"/>
      <c r="U37" s="7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</row>
    <row r="38" spans="1:148" ht="102">
      <c r="A38" s="11" t="s">
        <v>29</v>
      </c>
      <c r="B38" s="12" t="s">
        <v>57</v>
      </c>
      <c r="C38" s="13" t="s">
        <v>31</v>
      </c>
      <c r="D38" s="23">
        <f>150000000</f>
        <v>150000000</v>
      </c>
      <c r="E38" s="13" t="s">
        <v>32</v>
      </c>
      <c r="F38" s="13" t="s">
        <v>58</v>
      </c>
      <c r="G38" s="13" t="s">
        <v>34</v>
      </c>
      <c r="H38" s="13"/>
      <c r="I38" s="13" t="s">
        <v>59</v>
      </c>
      <c r="J38" s="13" t="s">
        <v>60</v>
      </c>
      <c r="K38" s="12" t="s">
        <v>61</v>
      </c>
      <c r="L38" s="13"/>
      <c r="M38" s="23">
        <f>0</f>
        <v>0</v>
      </c>
      <c r="N38" s="13"/>
      <c r="O38" s="23">
        <f>0</f>
        <v>0</v>
      </c>
      <c r="P38" s="23">
        <f>0</f>
        <v>0</v>
      </c>
      <c r="Q38" s="26" t="s">
        <v>38</v>
      </c>
      <c r="R38" s="26" t="s">
        <v>42</v>
      </c>
      <c r="S38" s="27">
        <f>398835.62</f>
        <v>398835.62</v>
      </c>
      <c r="T38" s="13"/>
      <c r="U38" s="7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</row>
    <row r="39" spans="1:148" ht="15">
      <c r="A39" s="14" t="s">
        <v>30</v>
      </c>
      <c r="B39" s="15"/>
      <c r="C39" s="15"/>
      <c r="D39" s="24">
        <f>0</f>
        <v>0</v>
      </c>
      <c r="E39" s="15"/>
      <c r="F39" s="15"/>
      <c r="G39" s="15"/>
      <c r="H39" s="15"/>
      <c r="I39" s="15"/>
      <c r="J39" s="15"/>
      <c r="K39" s="15"/>
      <c r="L39" s="15"/>
      <c r="M39" s="24">
        <f>0</f>
        <v>0</v>
      </c>
      <c r="N39" s="15"/>
      <c r="O39" s="24">
        <f>0</f>
        <v>0</v>
      </c>
      <c r="P39" s="24">
        <f>0</f>
        <v>0</v>
      </c>
      <c r="Q39" s="28" t="s">
        <v>38</v>
      </c>
      <c r="R39" s="28" t="s">
        <v>43</v>
      </c>
      <c r="S39" s="29">
        <f>1648520.54</f>
        <v>1648520.54</v>
      </c>
      <c r="T39" s="15"/>
      <c r="U39" s="7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</row>
    <row r="40" spans="1:148" ht="15">
      <c r="A40" s="14" t="s">
        <v>30</v>
      </c>
      <c r="B40" s="15"/>
      <c r="C40" s="15"/>
      <c r="D40" s="24">
        <f>0</f>
        <v>0</v>
      </c>
      <c r="E40" s="15"/>
      <c r="F40" s="15"/>
      <c r="G40" s="15"/>
      <c r="H40" s="15"/>
      <c r="I40" s="15"/>
      <c r="J40" s="15"/>
      <c r="K40" s="15"/>
      <c r="L40" s="15"/>
      <c r="M40" s="24">
        <f>0</f>
        <v>0</v>
      </c>
      <c r="N40" s="15"/>
      <c r="O40" s="24">
        <f>0</f>
        <v>0</v>
      </c>
      <c r="P40" s="24">
        <f>0</f>
        <v>0</v>
      </c>
      <c r="Q40" s="28" t="s">
        <v>38</v>
      </c>
      <c r="R40" s="28" t="s">
        <v>45</v>
      </c>
      <c r="S40" s="29">
        <f>797671.23</f>
        <v>797671.23</v>
      </c>
      <c r="T40" s="15"/>
      <c r="U40" s="7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</row>
    <row r="41" spans="1:148" ht="15">
      <c r="A41" s="14" t="s">
        <v>30</v>
      </c>
      <c r="B41" s="15"/>
      <c r="C41" s="15"/>
      <c r="D41" s="24">
        <f>0</f>
        <v>0</v>
      </c>
      <c r="E41" s="15"/>
      <c r="F41" s="15"/>
      <c r="G41" s="15"/>
      <c r="H41" s="15"/>
      <c r="I41" s="15"/>
      <c r="J41" s="15"/>
      <c r="K41" s="15"/>
      <c r="L41" s="15"/>
      <c r="M41" s="24">
        <f>0</f>
        <v>0</v>
      </c>
      <c r="N41" s="15"/>
      <c r="O41" s="24">
        <f>0</f>
        <v>0</v>
      </c>
      <c r="P41" s="24">
        <f>0</f>
        <v>0</v>
      </c>
      <c r="Q41" s="28" t="s">
        <v>38</v>
      </c>
      <c r="R41" s="28" t="s">
        <v>46</v>
      </c>
      <c r="S41" s="29">
        <f>824260.27</f>
        <v>824260.27</v>
      </c>
      <c r="T41" s="15"/>
      <c r="U41" s="7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</row>
    <row r="42" spans="1:148" ht="15">
      <c r="A42" s="14" t="s">
        <v>30</v>
      </c>
      <c r="B42" s="15"/>
      <c r="C42" s="15"/>
      <c r="D42" s="24">
        <f>0</f>
        <v>0</v>
      </c>
      <c r="E42" s="15"/>
      <c r="F42" s="15"/>
      <c r="G42" s="15"/>
      <c r="H42" s="15"/>
      <c r="I42" s="15"/>
      <c r="J42" s="15"/>
      <c r="K42" s="15"/>
      <c r="L42" s="15"/>
      <c r="M42" s="24">
        <f>0</f>
        <v>0</v>
      </c>
      <c r="N42" s="15"/>
      <c r="O42" s="24">
        <f>0</f>
        <v>0</v>
      </c>
      <c r="P42" s="24">
        <f>0</f>
        <v>0</v>
      </c>
      <c r="Q42" s="28" t="s">
        <v>38</v>
      </c>
      <c r="R42" s="28" t="s">
        <v>47</v>
      </c>
      <c r="S42" s="29">
        <f>797671.23</f>
        <v>797671.23</v>
      </c>
      <c r="T42" s="15"/>
      <c r="U42" s="7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</row>
    <row r="43" spans="1:148" ht="15">
      <c r="A43" s="14" t="s">
        <v>30</v>
      </c>
      <c r="B43" s="15"/>
      <c r="C43" s="15"/>
      <c r="D43" s="24">
        <f>0</f>
        <v>0</v>
      </c>
      <c r="E43" s="15"/>
      <c r="F43" s="15"/>
      <c r="G43" s="15"/>
      <c r="H43" s="15"/>
      <c r="I43" s="15"/>
      <c r="J43" s="15"/>
      <c r="K43" s="15"/>
      <c r="L43" s="15"/>
      <c r="M43" s="24">
        <f>0</f>
        <v>0</v>
      </c>
      <c r="N43" s="15"/>
      <c r="O43" s="24">
        <f>0</f>
        <v>0</v>
      </c>
      <c r="P43" s="24">
        <f>0</f>
        <v>0</v>
      </c>
      <c r="Q43" s="28" t="s">
        <v>38</v>
      </c>
      <c r="R43" s="28" t="s">
        <v>48</v>
      </c>
      <c r="S43" s="29">
        <f>822298.78</f>
        <v>822298.78</v>
      </c>
      <c r="T43" s="15"/>
      <c r="U43" s="7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</row>
    <row r="44" spans="1:148" ht="15">
      <c r="A44" s="14" t="s">
        <v>30</v>
      </c>
      <c r="B44" s="15"/>
      <c r="C44" s="15"/>
      <c r="D44" s="24">
        <f>0</f>
        <v>0</v>
      </c>
      <c r="E44" s="15"/>
      <c r="F44" s="15"/>
      <c r="G44" s="15"/>
      <c r="H44" s="15"/>
      <c r="I44" s="15"/>
      <c r="J44" s="15"/>
      <c r="K44" s="15"/>
      <c r="L44" s="15"/>
      <c r="M44" s="24">
        <f>0</f>
        <v>0</v>
      </c>
      <c r="N44" s="15"/>
      <c r="O44" s="24">
        <f>0</f>
        <v>0</v>
      </c>
      <c r="P44" s="24">
        <f>0</f>
        <v>0</v>
      </c>
      <c r="Q44" s="28" t="s">
        <v>38</v>
      </c>
      <c r="R44" s="28" t="s">
        <v>49</v>
      </c>
      <c r="S44" s="29">
        <f>822298.78</f>
        <v>822298.78</v>
      </c>
      <c r="T44" s="15"/>
      <c r="U44" s="7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</row>
    <row r="45" spans="1:148" ht="15">
      <c r="A45" s="14" t="s">
        <v>30</v>
      </c>
      <c r="B45" s="15"/>
      <c r="C45" s="15"/>
      <c r="D45" s="24">
        <f>0</f>
        <v>0</v>
      </c>
      <c r="E45" s="15"/>
      <c r="F45" s="15"/>
      <c r="G45" s="15"/>
      <c r="H45" s="15"/>
      <c r="I45" s="15"/>
      <c r="J45" s="15"/>
      <c r="K45" s="15"/>
      <c r="L45" s="15"/>
      <c r="M45" s="24">
        <f>0</f>
        <v>0</v>
      </c>
      <c r="N45" s="15"/>
      <c r="O45" s="24">
        <f>0</f>
        <v>0</v>
      </c>
      <c r="P45" s="24">
        <f>0</f>
        <v>0</v>
      </c>
      <c r="Q45" s="28" t="s">
        <v>38</v>
      </c>
      <c r="R45" s="28" t="s">
        <v>62</v>
      </c>
      <c r="S45" s="29">
        <f>654071.04</f>
        <v>654071.04</v>
      </c>
      <c r="T45" s="15"/>
      <c r="U45" s="7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</row>
    <row r="46" spans="1:148" ht="15">
      <c r="A46" s="14" t="s">
        <v>30</v>
      </c>
      <c r="B46" s="15"/>
      <c r="C46" s="15"/>
      <c r="D46" s="24">
        <f>0</f>
        <v>0</v>
      </c>
      <c r="E46" s="15"/>
      <c r="F46" s="15"/>
      <c r="G46" s="15"/>
      <c r="H46" s="15"/>
      <c r="I46" s="15"/>
      <c r="J46" s="15"/>
      <c r="K46" s="15"/>
      <c r="L46" s="15"/>
      <c r="M46" s="24">
        <f>0</f>
        <v>0</v>
      </c>
      <c r="N46" s="15"/>
      <c r="O46" s="24">
        <f>0</f>
        <v>0</v>
      </c>
      <c r="P46" s="24">
        <f>0</f>
        <v>0</v>
      </c>
      <c r="Q46" s="28" t="s">
        <v>38</v>
      </c>
      <c r="R46" s="28" t="s">
        <v>63</v>
      </c>
      <c r="S46" s="29">
        <f>530327.87</f>
        <v>530327.87</v>
      </c>
      <c r="T46" s="15"/>
      <c r="U46" s="7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</row>
    <row r="47" spans="1:148" ht="89.25">
      <c r="A47" s="11" t="s">
        <v>29</v>
      </c>
      <c r="B47" s="12" t="s">
        <v>64</v>
      </c>
      <c r="C47" s="13" t="s">
        <v>31</v>
      </c>
      <c r="D47" s="23">
        <f>100000000</f>
        <v>100000000</v>
      </c>
      <c r="E47" s="13" t="s">
        <v>65</v>
      </c>
      <c r="F47" s="13" t="s">
        <v>66</v>
      </c>
      <c r="G47" s="13" t="s">
        <v>34</v>
      </c>
      <c r="H47" s="13"/>
      <c r="I47" s="13" t="s">
        <v>67</v>
      </c>
      <c r="J47" s="13" t="s">
        <v>68</v>
      </c>
      <c r="K47" s="12" t="s">
        <v>69</v>
      </c>
      <c r="L47" s="13"/>
      <c r="M47" s="23">
        <f>0</f>
        <v>0</v>
      </c>
      <c r="N47" s="13"/>
      <c r="O47" s="23">
        <f>0</f>
        <v>0</v>
      </c>
      <c r="P47" s="23">
        <f>0</f>
        <v>0</v>
      </c>
      <c r="Q47" s="26" t="s">
        <v>38</v>
      </c>
      <c r="R47" s="26" t="s">
        <v>44</v>
      </c>
      <c r="S47" s="27">
        <f>499397.26</f>
        <v>499397.26</v>
      </c>
      <c r="T47" s="13"/>
      <c r="U47" s="7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</row>
    <row r="48" spans="1:148" ht="15">
      <c r="A48" s="14" t="s">
        <v>30</v>
      </c>
      <c r="B48" s="15"/>
      <c r="C48" s="15"/>
      <c r="D48" s="24">
        <f>0</f>
        <v>0</v>
      </c>
      <c r="E48" s="15"/>
      <c r="F48" s="15"/>
      <c r="G48" s="15"/>
      <c r="H48" s="15"/>
      <c r="I48" s="15"/>
      <c r="J48" s="15"/>
      <c r="K48" s="15"/>
      <c r="L48" s="15"/>
      <c r="M48" s="24">
        <f>0</f>
        <v>0</v>
      </c>
      <c r="N48" s="15"/>
      <c r="O48" s="24">
        <f>0</f>
        <v>0</v>
      </c>
      <c r="P48" s="24">
        <f>0</f>
        <v>0</v>
      </c>
      <c r="Q48" s="28" t="s">
        <v>38</v>
      </c>
      <c r="R48" s="28" t="s">
        <v>45</v>
      </c>
      <c r="S48" s="29">
        <f>535068.49</f>
        <v>535068.49</v>
      </c>
      <c r="T48" s="15"/>
      <c r="U48" s="7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</row>
    <row r="49" spans="1:148" ht="15">
      <c r="A49" s="14" t="s">
        <v>30</v>
      </c>
      <c r="B49" s="15"/>
      <c r="C49" s="15"/>
      <c r="D49" s="24">
        <f>0</f>
        <v>0</v>
      </c>
      <c r="E49" s="15"/>
      <c r="F49" s="15"/>
      <c r="G49" s="15"/>
      <c r="H49" s="15"/>
      <c r="I49" s="15"/>
      <c r="J49" s="15"/>
      <c r="K49" s="15"/>
      <c r="L49" s="15"/>
      <c r="M49" s="24">
        <f>0</f>
        <v>0</v>
      </c>
      <c r="N49" s="15"/>
      <c r="O49" s="24">
        <f>0</f>
        <v>0</v>
      </c>
      <c r="P49" s="24">
        <f>0</f>
        <v>0</v>
      </c>
      <c r="Q49" s="28" t="s">
        <v>38</v>
      </c>
      <c r="R49" s="28" t="s">
        <v>46</v>
      </c>
      <c r="S49" s="29">
        <f>552904.11</f>
        <v>552904.11</v>
      </c>
      <c r="T49" s="15"/>
      <c r="U49" s="7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</row>
    <row r="50" spans="1:148" ht="15">
      <c r="A50" s="14" t="s">
        <v>30</v>
      </c>
      <c r="B50" s="15"/>
      <c r="C50" s="15"/>
      <c r="D50" s="24">
        <f>0</f>
        <v>0</v>
      </c>
      <c r="E50" s="15"/>
      <c r="F50" s="15"/>
      <c r="G50" s="15"/>
      <c r="H50" s="15"/>
      <c r="I50" s="15"/>
      <c r="J50" s="15"/>
      <c r="K50" s="15"/>
      <c r="L50" s="15"/>
      <c r="M50" s="24">
        <f>0</f>
        <v>0</v>
      </c>
      <c r="N50" s="15"/>
      <c r="O50" s="24">
        <f>0</f>
        <v>0</v>
      </c>
      <c r="P50" s="24">
        <f>0</f>
        <v>0</v>
      </c>
      <c r="Q50" s="28" t="s">
        <v>38</v>
      </c>
      <c r="R50" s="28" t="s">
        <v>47</v>
      </c>
      <c r="S50" s="29">
        <f>535068.49</f>
        <v>535068.49</v>
      </c>
      <c r="T50" s="15"/>
      <c r="U50" s="7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</row>
    <row r="51" spans="1:148" ht="15">
      <c r="A51" s="14" t="s">
        <v>30</v>
      </c>
      <c r="B51" s="15"/>
      <c r="C51" s="15"/>
      <c r="D51" s="24">
        <f>0</f>
        <v>0</v>
      </c>
      <c r="E51" s="15"/>
      <c r="F51" s="15"/>
      <c r="G51" s="15"/>
      <c r="H51" s="15"/>
      <c r="I51" s="15"/>
      <c r="J51" s="15"/>
      <c r="K51" s="15"/>
      <c r="L51" s="15"/>
      <c r="M51" s="24">
        <f>0</f>
        <v>0</v>
      </c>
      <c r="N51" s="15"/>
      <c r="O51" s="24">
        <f>0</f>
        <v>0</v>
      </c>
      <c r="P51" s="24">
        <f>0</f>
        <v>0</v>
      </c>
      <c r="Q51" s="28" t="s">
        <v>38</v>
      </c>
      <c r="R51" s="28" t="s">
        <v>48</v>
      </c>
      <c r="S51" s="29">
        <f>551588.37</f>
        <v>551588.37</v>
      </c>
      <c r="T51" s="15"/>
      <c r="U51" s="7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</row>
    <row r="52" spans="1:148" ht="15">
      <c r="A52" s="14" t="s">
        <v>30</v>
      </c>
      <c r="B52" s="15"/>
      <c r="C52" s="15"/>
      <c r="D52" s="24">
        <f>0</f>
        <v>0</v>
      </c>
      <c r="E52" s="15"/>
      <c r="F52" s="15"/>
      <c r="G52" s="15"/>
      <c r="H52" s="15"/>
      <c r="I52" s="15"/>
      <c r="J52" s="15"/>
      <c r="K52" s="15"/>
      <c r="L52" s="15"/>
      <c r="M52" s="24">
        <f>0</f>
        <v>0</v>
      </c>
      <c r="N52" s="15"/>
      <c r="O52" s="24">
        <f>0</f>
        <v>0</v>
      </c>
      <c r="P52" s="24">
        <f>0</f>
        <v>0</v>
      </c>
      <c r="Q52" s="28" t="s">
        <v>38</v>
      </c>
      <c r="R52" s="28" t="s">
        <v>49</v>
      </c>
      <c r="S52" s="29">
        <f>551393.44</f>
        <v>551393.44</v>
      </c>
      <c r="T52" s="15"/>
      <c r="U52" s="7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</row>
    <row r="53" spans="1:148" ht="15">
      <c r="A53" s="14" t="s">
        <v>30</v>
      </c>
      <c r="B53" s="15"/>
      <c r="C53" s="15"/>
      <c r="D53" s="24">
        <f>0</f>
        <v>0</v>
      </c>
      <c r="E53" s="15"/>
      <c r="F53" s="15"/>
      <c r="G53" s="15"/>
      <c r="H53" s="15"/>
      <c r="I53" s="15"/>
      <c r="J53" s="15"/>
      <c r="K53" s="15"/>
      <c r="L53" s="15"/>
      <c r="M53" s="24">
        <f>0</f>
        <v>0</v>
      </c>
      <c r="N53" s="15"/>
      <c r="O53" s="24">
        <f>0</f>
        <v>0</v>
      </c>
      <c r="P53" s="24">
        <f>0</f>
        <v>0</v>
      </c>
      <c r="Q53" s="28" t="s">
        <v>38</v>
      </c>
      <c r="R53" s="28" t="s">
        <v>62</v>
      </c>
      <c r="S53" s="29">
        <f>515819.67</f>
        <v>515819.67</v>
      </c>
      <c r="T53" s="15"/>
      <c r="U53" s="7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</row>
    <row r="54" spans="1:148" ht="15">
      <c r="A54" s="14" t="s">
        <v>30</v>
      </c>
      <c r="B54" s="15"/>
      <c r="C54" s="15"/>
      <c r="D54" s="24">
        <f>0</f>
        <v>0</v>
      </c>
      <c r="E54" s="15"/>
      <c r="F54" s="15"/>
      <c r="G54" s="15"/>
      <c r="H54" s="15"/>
      <c r="I54" s="15"/>
      <c r="J54" s="15"/>
      <c r="K54" s="15"/>
      <c r="L54" s="15"/>
      <c r="M54" s="24">
        <f>0</f>
        <v>0</v>
      </c>
      <c r="N54" s="15"/>
      <c r="O54" s="24">
        <f>0</f>
        <v>0</v>
      </c>
      <c r="P54" s="24">
        <f>0</f>
        <v>0</v>
      </c>
      <c r="Q54" s="28" t="s">
        <v>38</v>
      </c>
      <c r="R54" s="28" t="s">
        <v>63</v>
      </c>
      <c r="S54" s="29">
        <f>551393.44</f>
        <v>551393.44</v>
      </c>
      <c r="T54" s="15"/>
      <c r="U54" s="7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</row>
    <row r="55" spans="1:148" ht="15">
      <c r="A55" s="14" t="s">
        <v>30</v>
      </c>
      <c r="B55" s="15"/>
      <c r="C55" s="15"/>
      <c r="D55" s="24">
        <f>0</f>
        <v>0</v>
      </c>
      <c r="E55" s="15"/>
      <c r="F55" s="15"/>
      <c r="G55" s="15"/>
      <c r="H55" s="15"/>
      <c r="I55" s="15"/>
      <c r="J55" s="15"/>
      <c r="K55" s="15"/>
      <c r="L55" s="15"/>
      <c r="M55" s="24">
        <f>0</f>
        <v>0</v>
      </c>
      <c r="N55" s="15"/>
      <c r="O55" s="24">
        <f>0</f>
        <v>0</v>
      </c>
      <c r="P55" s="24">
        <f>0</f>
        <v>0</v>
      </c>
      <c r="Q55" s="28" t="s">
        <v>38</v>
      </c>
      <c r="R55" s="28" t="s">
        <v>70</v>
      </c>
      <c r="S55" s="29">
        <f>533606.56</f>
        <v>533606.56</v>
      </c>
      <c r="T55" s="15"/>
      <c r="U55" s="7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</row>
    <row r="56" spans="1:148" ht="15">
      <c r="A56" s="14" t="s">
        <v>30</v>
      </c>
      <c r="B56" s="15"/>
      <c r="C56" s="15"/>
      <c r="D56" s="24">
        <f>0</f>
        <v>0</v>
      </c>
      <c r="E56" s="15"/>
      <c r="F56" s="15"/>
      <c r="G56" s="15"/>
      <c r="H56" s="15"/>
      <c r="I56" s="15"/>
      <c r="J56" s="15"/>
      <c r="K56" s="15"/>
      <c r="L56" s="15"/>
      <c r="M56" s="24">
        <f>0</f>
        <v>0</v>
      </c>
      <c r="N56" s="15"/>
      <c r="O56" s="24">
        <f>0</f>
        <v>0</v>
      </c>
      <c r="P56" s="24">
        <f>0</f>
        <v>0</v>
      </c>
      <c r="Q56" s="28" t="s">
        <v>38</v>
      </c>
      <c r="R56" s="28" t="s">
        <v>71</v>
      </c>
      <c r="S56" s="29">
        <f>551393.44</f>
        <v>551393.44</v>
      </c>
      <c r="T56" s="15"/>
      <c r="U56" s="7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</row>
    <row r="57" spans="1:148" ht="15">
      <c r="A57" s="14" t="s">
        <v>30</v>
      </c>
      <c r="B57" s="15"/>
      <c r="C57" s="15"/>
      <c r="D57" s="24">
        <f>0</f>
        <v>0</v>
      </c>
      <c r="E57" s="15"/>
      <c r="F57" s="15"/>
      <c r="G57" s="15"/>
      <c r="H57" s="15"/>
      <c r="I57" s="15"/>
      <c r="J57" s="15"/>
      <c r="K57" s="15"/>
      <c r="L57" s="15"/>
      <c r="M57" s="24">
        <f>0</f>
        <v>0</v>
      </c>
      <c r="N57" s="15"/>
      <c r="O57" s="24">
        <f>0</f>
        <v>0</v>
      </c>
      <c r="P57" s="24">
        <f>0</f>
        <v>0</v>
      </c>
      <c r="Q57" s="28" t="s">
        <v>38</v>
      </c>
      <c r="R57" s="28" t="s">
        <v>72</v>
      </c>
      <c r="S57" s="29">
        <f>533606.56</f>
        <v>533606.56</v>
      </c>
      <c r="T57" s="15"/>
      <c r="U57" s="7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</row>
    <row r="58" spans="1:148" ht="15">
      <c r="A58" s="14" t="s">
        <v>30</v>
      </c>
      <c r="B58" s="15"/>
      <c r="C58" s="15"/>
      <c r="D58" s="24">
        <f>0</f>
        <v>0</v>
      </c>
      <c r="E58" s="15"/>
      <c r="F58" s="15"/>
      <c r="G58" s="15"/>
      <c r="H58" s="15"/>
      <c r="I58" s="15"/>
      <c r="J58" s="15"/>
      <c r="K58" s="15"/>
      <c r="L58" s="15"/>
      <c r="M58" s="24">
        <f>0</f>
        <v>0</v>
      </c>
      <c r="N58" s="15"/>
      <c r="O58" s="24">
        <f>0</f>
        <v>0</v>
      </c>
      <c r="P58" s="24">
        <f>0</f>
        <v>0</v>
      </c>
      <c r="Q58" s="28" t="s">
        <v>38</v>
      </c>
      <c r="R58" s="28" t="s">
        <v>73</v>
      </c>
      <c r="S58" s="29">
        <f>551393.44</f>
        <v>551393.44</v>
      </c>
      <c r="T58" s="15"/>
      <c r="U58" s="7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</row>
    <row r="59" spans="1:148" ht="15">
      <c r="A59" s="14" t="s">
        <v>30</v>
      </c>
      <c r="B59" s="15"/>
      <c r="C59" s="15"/>
      <c r="D59" s="24">
        <f>0</f>
        <v>0</v>
      </c>
      <c r="E59" s="15"/>
      <c r="F59" s="15"/>
      <c r="G59" s="15"/>
      <c r="H59" s="15"/>
      <c r="I59" s="15"/>
      <c r="J59" s="15"/>
      <c r="K59" s="15"/>
      <c r="L59" s="15"/>
      <c r="M59" s="24">
        <f>0</f>
        <v>0</v>
      </c>
      <c r="N59" s="15"/>
      <c r="O59" s="24">
        <f>0</f>
        <v>0</v>
      </c>
      <c r="P59" s="24">
        <f>0</f>
        <v>0</v>
      </c>
      <c r="Q59" s="28" t="s">
        <v>38</v>
      </c>
      <c r="R59" s="28" t="s">
        <v>68</v>
      </c>
      <c r="S59" s="29">
        <f>35573.77</f>
        <v>35573.77</v>
      </c>
      <c r="T59" s="15"/>
      <c r="U59" s="7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</row>
    <row r="60" spans="1:148" ht="102">
      <c r="A60" s="11" t="s">
        <v>29</v>
      </c>
      <c r="B60" s="12" t="s">
        <v>74</v>
      </c>
      <c r="C60" s="13" t="s">
        <v>31</v>
      </c>
      <c r="D60" s="23">
        <f>140000000</f>
        <v>140000000</v>
      </c>
      <c r="E60" s="13" t="s">
        <v>32</v>
      </c>
      <c r="F60" s="13" t="s">
        <v>75</v>
      </c>
      <c r="G60" s="13" t="s">
        <v>34</v>
      </c>
      <c r="H60" s="13"/>
      <c r="I60" s="13" t="s">
        <v>76</v>
      </c>
      <c r="J60" s="13" t="s">
        <v>77</v>
      </c>
      <c r="K60" s="12" t="s">
        <v>78</v>
      </c>
      <c r="L60" s="13"/>
      <c r="M60" s="23">
        <f>0</f>
        <v>0</v>
      </c>
      <c r="N60" s="13"/>
      <c r="O60" s="23">
        <f>0</f>
        <v>0</v>
      </c>
      <c r="P60" s="23">
        <f>0</f>
        <v>0</v>
      </c>
      <c r="Q60" s="26" t="s">
        <v>38</v>
      </c>
      <c r="R60" s="26" t="s">
        <v>44</v>
      </c>
      <c r="S60" s="27">
        <f>104328.77</f>
        <v>104328.77</v>
      </c>
      <c r="T60" s="13"/>
      <c r="U60" s="7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</row>
    <row r="61" spans="1:148" ht="15">
      <c r="A61" s="14" t="s">
        <v>30</v>
      </c>
      <c r="B61" s="15"/>
      <c r="C61" s="15"/>
      <c r="D61" s="24">
        <f>0</f>
        <v>0</v>
      </c>
      <c r="E61" s="15"/>
      <c r="F61" s="15"/>
      <c r="G61" s="15"/>
      <c r="H61" s="15"/>
      <c r="I61" s="15"/>
      <c r="J61" s="15"/>
      <c r="K61" s="15"/>
      <c r="L61" s="15"/>
      <c r="M61" s="24">
        <f>0</f>
        <v>0</v>
      </c>
      <c r="N61" s="15"/>
      <c r="O61" s="24">
        <f>0</f>
        <v>0</v>
      </c>
      <c r="P61" s="24">
        <f>0</f>
        <v>0</v>
      </c>
      <c r="Q61" s="28" t="s">
        <v>38</v>
      </c>
      <c r="R61" s="28" t="s">
        <v>45</v>
      </c>
      <c r="S61" s="29">
        <f>782465.75</f>
        <v>782465.75</v>
      </c>
      <c r="T61" s="15"/>
      <c r="U61" s="7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</row>
    <row r="62" spans="1:148" ht="15">
      <c r="A62" s="14" t="s">
        <v>30</v>
      </c>
      <c r="B62" s="15"/>
      <c r="C62" s="15"/>
      <c r="D62" s="24">
        <f>0</f>
        <v>0</v>
      </c>
      <c r="E62" s="15"/>
      <c r="F62" s="15"/>
      <c r="G62" s="15"/>
      <c r="H62" s="15"/>
      <c r="I62" s="15"/>
      <c r="J62" s="15"/>
      <c r="K62" s="15"/>
      <c r="L62" s="15"/>
      <c r="M62" s="24">
        <f>0</f>
        <v>0</v>
      </c>
      <c r="N62" s="15"/>
      <c r="O62" s="24">
        <f>0</f>
        <v>0</v>
      </c>
      <c r="P62" s="24">
        <f>0</f>
        <v>0</v>
      </c>
      <c r="Q62" s="28" t="s">
        <v>38</v>
      </c>
      <c r="R62" s="28" t="s">
        <v>46</v>
      </c>
      <c r="S62" s="29">
        <f>808547.95</f>
        <v>808547.95</v>
      </c>
      <c r="T62" s="15"/>
      <c r="U62" s="7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</row>
    <row r="63" spans="1:148" ht="15">
      <c r="A63" s="14" t="s">
        <v>30</v>
      </c>
      <c r="B63" s="15"/>
      <c r="C63" s="15"/>
      <c r="D63" s="24">
        <f>0</f>
        <v>0</v>
      </c>
      <c r="E63" s="15"/>
      <c r="F63" s="15"/>
      <c r="G63" s="15"/>
      <c r="H63" s="15"/>
      <c r="I63" s="15"/>
      <c r="J63" s="15"/>
      <c r="K63" s="15"/>
      <c r="L63" s="15"/>
      <c r="M63" s="24">
        <f>0</f>
        <v>0</v>
      </c>
      <c r="N63" s="15"/>
      <c r="O63" s="24">
        <f>0</f>
        <v>0</v>
      </c>
      <c r="P63" s="24">
        <f>0</f>
        <v>0</v>
      </c>
      <c r="Q63" s="28" t="s">
        <v>38</v>
      </c>
      <c r="R63" s="28" t="s">
        <v>47</v>
      </c>
      <c r="S63" s="29">
        <f>782465.75</f>
        <v>782465.75</v>
      </c>
      <c r="T63" s="15"/>
      <c r="U63" s="7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</row>
    <row r="64" spans="1:148" ht="15">
      <c r="A64" s="14" t="s">
        <v>30</v>
      </c>
      <c r="B64" s="15"/>
      <c r="C64" s="15"/>
      <c r="D64" s="24">
        <f>0</f>
        <v>0</v>
      </c>
      <c r="E64" s="15"/>
      <c r="F64" s="15"/>
      <c r="G64" s="15"/>
      <c r="H64" s="15"/>
      <c r="I64" s="15"/>
      <c r="J64" s="15"/>
      <c r="K64" s="15"/>
      <c r="L64" s="15"/>
      <c r="M64" s="24">
        <f>0</f>
        <v>0</v>
      </c>
      <c r="N64" s="15"/>
      <c r="O64" s="24">
        <f>0</f>
        <v>0</v>
      </c>
      <c r="P64" s="24">
        <f>0</f>
        <v>0</v>
      </c>
      <c r="Q64" s="28" t="s">
        <v>38</v>
      </c>
      <c r="R64" s="28" t="s">
        <v>48</v>
      </c>
      <c r="S64" s="29">
        <f>806623.85</f>
        <v>806623.85</v>
      </c>
      <c r="T64" s="15"/>
      <c r="U64" s="7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</row>
    <row r="65" spans="1:148" ht="15">
      <c r="A65" s="14" t="s">
        <v>30</v>
      </c>
      <c r="B65" s="15"/>
      <c r="C65" s="15"/>
      <c r="D65" s="24">
        <f>0</f>
        <v>0</v>
      </c>
      <c r="E65" s="15"/>
      <c r="F65" s="15"/>
      <c r="G65" s="15"/>
      <c r="H65" s="15"/>
      <c r="I65" s="15"/>
      <c r="J65" s="15"/>
      <c r="K65" s="15"/>
      <c r="L65" s="15"/>
      <c r="M65" s="24">
        <f>0</f>
        <v>0</v>
      </c>
      <c r="N65" s="15"/>
      <c r="O65" s="24">
        <f>0</f>
        <v>0</v>
      </c>
      <c r="P65" s="24">
        <f>0</f>
        <v>0</v>
      </c>
      <c r="Q65" s="28" t="s">
        <v>38</v>
      </c>
      <c r="R65" s="28" t="s">
        <v>49</v>
      </c>
      <c r="S65" s="29">
        <f>806338.8</f>
        <v>806338.8</v>
      </c>
      <c r="T65" s="15"/>
      <c r="U65" s="7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</row>
    <row r="66" spans="1:148" ht="15">
      <c r="A66" s="14" t="s">
        <v>30</v>
      </c>
      <c r="B66" s="15"/>
      <c r="C66" s="15"/>
      <c r="D66" s="24">
        <f>0</f>
        <v>0</v>
      </c>
      <c r="E66" s="15"/>
      <c r="F66" s="15"/>
      <c r="G66" s="15"/>
      <c r="H66" s="15"/>
      <c r="I66" s="15"/>
      <c r="J66" s="15"/>
      <c r="K66" s="15"/>
      <c r="L66" s="15"/>
      <c r="M66" s="24">
        <f>0</f>
        <v>0</v>
      </c>
      <c r="N66" s="15"/>
      <c r="O66" s="24">
        <f>0</f>
        <v>0</v>
      </c>
      <c r="P66" s="24">
        <f>0</f>
        <v>0</v>
      </c>
      <c r="Q66" s="28" t="s">
        <v>38</v>
      </c>
      <c r="R66" s="28" t="s">
        <v>62</v>
      </c>
      <c r="S66" s="29">
        <f>754316.94</f>
        <v>754316.94</v>
      </c>
      <c r="T66" s="15"/>
      <c r="U66" s="7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</row>
    <row r="67" spans="1:148" ht="15">
      <c r="A67" s="14" t="s">
        <v>30</v>
      </c>
      <c r="B67" s="15"/>
      <c r="C67" s="15"/>
      <c r="D67" s="24">
        <f>0</f>
        <v>0</v>
      </c>
      <c r="E67" s="15"/>
      <c r="F67" s="15"/>
      <c r="G67" s="15"/>
      <c r="H67" s="15"/>
      <c r="I67" s="15"/>
      <c r="J67" s="15"/>
      <c r="K67" s="15"/>
      <c r="L67" s="15"/>
      <c r="M67" s="24">
        <f>0</f>
        <v>0</v>
      </c>
      <c r="N67" s="15"/>
      <c r="O67" s="24">
        <f>0</f>
        <v>0</v>
      </c>
      <c r="P67" s="24">
        <f>0</f>
        <v>0</v>
      </c>
      <c r="Q67" s="28" t="s">
        <v>38</v>
      </c>
      <c r="R67" s="28" t="s">
        <v>63</v>
      </c>
      <c r="S67" s="29">
        <f>806338.8</f>
        <v>806338.8</v>
      </c>
      <c r="T67" s="15"/>
      <c r="U67" s="7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</row>
    <row r="68" spans="1:148" ht="15">
      <c r="A68" s="14" t="s">
        <v>30</v>
      </c>
      <c r="B68" s="15"/>
      <c r="C68" s="15"/>
      <c r="D68" s="24">
        <f>0</f>
        <v>0</v>
      </c>
      <c r="E68" s="15"/>
      <c r="F68" s="15"/>
      <c r="G68" s="15"/>
      <c r="H68" s="15"/>
      <c r="I68" s="15"/>
      <c r="J68" s="15"/>
      <c r="K68" s="15"/>
      <c r="L68" s="15"/>
      <c r="M68" s="24">
        <f>0</f>
        <v>0</v>
      </c>
      <c r="N68" s="15"/>
      <c r="O68" s="24">
        <f>0</f>
        <v>0</v>
      </c>
      <c r="P68" s="24">
        <f>0</f>
        <v>0</v>
      </c>
      <c r="Q68" s="28" t="s">
        <v>38</v>
      </c>
      <c r="R68" s="28" t="s">
        <v>70</v>
      </c>
      <c r="S68" s="29">
        <f>780327.87</f>
        <v>780327.87</v>
      </c>
      <c r="T68" s="15"/>
      <c r="U68" s="7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</row>
    <row r="69" spans="1:148" ht="15">
      <c r="A69" s="14" t="s">
        <v>30</v>
      </c>
      <c r="B69" s="15"/>
      <c r="C69" s="15"/>
      <c r="D69" s="24">
        <f>0</f>
        <v>0</v>
      </c>
      <c r="E69" s="15"/>
      <c r="F69" s="15"/>
      <c r="G69" s="15"/>
      <c r="H69" s="15"/>
      <c r="I69" s="15"/>
      <c r="J69" s="15"/>
      <c r="K69" s="15"/>
      <c r="L69" s="15"/>
      <c r="M69" s="24">
        <f>0</f>
        <v>0</v>
      </c>
      <c r="N69" s="15"/>
      <c r="O69" s="24">
        <f>0</f>
        <v>0</v>
      </c>
      <c r="P69" s="24">
        <f>0</f>
        <v>0</v>
      </c>
      <c r="Q69" s="28" t="s">
        <v>38</v>
      </c>
      <c r="R69" s="28" t="s">
        <v>71</v>
      </c>
      <c r="S69" s="29">
        <f>806338.8</f>
        <v>806338.8</v>
      </c>
      <c r="T69" s="15"/>
      <c r="U69" s="7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</row>
    <row r="70" spans="1:148" ht="15">
      <c r="A70" s="14" t="s">
        <v>30</v>
      </c>
      <c r="B70" s="15"/>
      <c r="C70" s="15"/>
      <c r="D70" s="24">
        <f>0</f>
        <v>0</v>
      </c>
      <c r="E70" s="15"/>
      <c r="F70" s="15"/>
      <c r="G70" s="15"/>
      <c r="H70" s="15"/>
      <c r="I70" s="15"/>
      <c r="J70" s="15"/>
      <c r="K70" s="15"/>
      <c r="L70" s="15"/>
      <c r="M70" s="24">
        <f>0</f>
        <v>0</v>
      </c>
      <c r="N70" s="15"/>
      <c r="O70" s="24">
        <f>0</f>
        <v>0</v>
      </c>
      <c r="P70" s="24">
        <f>0</f>
        <v>0</v>
      </c>
      <c r="Q70" s="28" t="s">
        <v>38</v>
      </c>
      <c r="R70" s="28" t="s">
        <v>72</v>
      </c>
      <c r="S70" s="29">
        <f>780327.87</f>
        <v>780327.87</v>
      </c>
      <c r="T70" s="15"/>
      <c r="U70" s="7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</row>
    <row r="71" spans="1:148" ht="15">
      <c r="A71" s="14" t="s">
        <v>30</v>
      </c>
      <c r="B71" s="15"/>
      <c r="C71" s="15"/>
      <c r="D71" s="24">
        <f>0</f>
        <v>0</v>
      </c>
      <c r="E71" s="15"/>
      <c r="F71" s="15"/>
      <c r="G71" s="15"/>
      <c r="H71" s="15"/>
      <c r="I71" s="15"/>
      <c r="J71" s="15"/>
      <c r="K71" s="15"/>
      <c r="L71" s="15"/>
      <c r="M71" s="24">
        <f>0</f>
        <v>0</v>
      </c>
      <c r="N71" s="15"/>
      <c r="O71" s="24">
        <f>0</f>
        <v>0</v>
      </c>
      <c r="P71" s="24">
        <f>0</f>
        <v>0</v>
      </c>
      <c r="Q71" s="28" t="s">
        <v>38</v>
      </c>
      <c r="R71" s="28" t="s">
        <v>73</v>
      </c>
      <c r="S71" s="29">
        <f>806338.8</f>
        <v>806338.8</v>
      </c>
      <c r="T71" s="15"/>
      <c r="U71" s="7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</row>
    <row r="72" spans="1:148" ht="15">
      <c r="A72" s="14" t="s">
        <v>30</v>
      </c>
      <c r="B72" s="15"/>
      <c r="C72" s="15"/>
      <c r="D72" s="24">
        <f>0</f>
        <v>0</v>
      </c>
      <c r="E72" s="15"/>
      <c r="F72" s="15"/>
      <c r="G72" s="15"/>
      <c r="H72" s="15"/>
      <c r="I72" s="15"/>
      <c r="J72" s="15"/>
      <c r="K72" s="15"/>
      <c r="L72" s="15"/>
      <c r="M72" s="24">
        <f>0</f>
        <v>0</v>
      </c>
      <c r="N72" s="15"/>
      <c r="O72" s="24">
        <f>0</f>
        <v>0</v>
      </c>
      <c r="P72" s="24">
        <f>0</f>
        <v>0</v>
      </c>
      <c r="Q72" s="28" t="s">
        <v>38</v>
      </c>
      <c r="R72" s="28" t="s">
        <v>79</v>
      </c>
      <c r="S72" s="29">
        <f>806338.8</f>
        <v>806338.8</v>
      </c>
      <c r="T72" s="15"/>
      <c r="U72" s="7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</row>
    <row r="73" spans="1:148" ht="15">
      <c r="A73" s="14" t="s">
        <v>30</v>
      </c>
      <c r="B73" s="15"/>
      <c r="C73" s="15"/>
      <c r="D73" s="24">
        <f>0</f>
        <v>0</v>
      </c>
      <c r="E73" s="15"/>
      <c r="F73" s="15"/>
      <c r="G73" s="15"/>
      <c r="H73" s="15"/>
      <c r="I73" s="15"/>
      <c r="J73" s="15"/>
      <c r="K73" s="15"/>
      <c r="L73" s="15"/>
      <c r="M73" s="24">
        <f>0</f>
        <v>0</v>
      </c>
      <c r="N73" s="15"/>
      <c r="O73" s="24">
        <f>0</f>
        <v>0</v>
      </c>
      <c r="P73" s="24">
        <f>0</f>
        <v>0</v>
      </c>
      <c r="Q73" s="28" t="s">
        <v>38</v>
      </c>
      <c r="R73" s="28" t="s">
        <v>80</v>
      </c>
      <c r="S73" s="29">
        <f>338142.08</f>
        <v>338142.08</v>
      </c>
      <c r="T73" s="15"/>
      <c r="U73" s="7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</row>
    <row r="74" spans="1:148" ht="102">
      <c r="A74" s="11" t="s">
        <v>29</v>
      </c>
      <c r="B74" s="12" t="s">
        <v>81</v>
      </c>
      <c r="C74" s="13" t="s">
        <v>31</v>
      </c>
      <c r="D74" s="23">
        <f>200000000</f>
        <v>200000000</v>
      </c>
      <c r="E74" s="13" t="s">
        <v>32</v>
      </c>
      <c r="F74" s="13" t="s">
        <v>82</v>
      </c>
      <c r="G74" s="13" t="s">
        <v>34</v>
      </c>
      <c r="H74" s="13"/>
      <c r="I74" s="13" t="s">
        <v>76</v>
      </c>
      <c r="J74" s="13" t="s">
        <v>83</v>
      </c>
      <c r="K74" s="12" t="s">
        <v>84</v>
      </c>
      <c r="L74" s="13"/>
      <c r="M74" s="23">
        <f>0</f>
        <v>0</v>
      </c>
      <c r="N74" s="13"/>
      <c r="O74" s="23">
        <f>0</f>
        <v>0</v>
      </c>
      <c r="P74" s="23">
        <f>0</f>
        <v>0</v>
      </c>
      <c r="Q74" s="26" t="s">
        <v>38</v>
      </c>
      <c r="R74" s="26" t="s">
        <v>44</v>
      </c>
      <c r="S74" s="27">
        <f>142684.93</f>
        <v>142684.93</v>
      </c>
      <c r="T74" s="13"/>
      <c r="U74" s="7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</row>
    <row r="75" spans="1:148" ht="15">
      <c r="A75" s="14" t="s">
        <v>30</v>
      </c>
      <c r="B75" s="15"/>
      <c r="C75" s="15"/>
      <c r="D75" s="24">
        <f>0</f>
        <v>0</v>
      </c>
      <c r="E75" s="15"/>
      <c r="F75" s="15"/>
      <c r="G75" s="15"/>
      <c r="H75" s="15"/>
      <c r="I75" s="15"/>
      <c r="J75" s="15"/>
      <c r="K75" s="15"/>
      <c r="L75" s="15"/>
      <c r="M75" s="24">
        <f>0</f>
        <v>0</v>
      </c>
      <c r="N75" s="15"/>
      <c r="O75" s="24">
        <f>0</f>
        <v>0</v>
      </c>
      <c r="P75" s="24">
        <f>0</f>
        <v>0</v>
      </c>
      <c r="Q75" s="28" t="s">
        <v>38</v>
      </c>
      <c r="R75" s="28" t="s">
        <v>45</v>
      </c>
      <c r="S75" s="29">
        <f>1070136.99</f>
        <v>1070136.99</v>
      </c>
      <c r="T75" s="15"/>
      <c r="U75" s="7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</row>
    <row r="76" spans="1:148" ht="15">
      <c r="A76" s="14" t="s">
        <v>30</v>
      </c>
      <c r="B76" s="15"/>
      <c r="C76" s="15"/>
      <c r="D76" s="24">
        <f>0</f>
        <v>0</v>
      </c>
      <c r="E76" s="15"/>
      <c r="F76" s="15"/>
      <c r="G76" s="15"/>
      <c r="H76" s="15"/>
      <c r="I76" s="15"/>
      <c r="J76" s="15"/>
      <c r="K76" s="15"/>
      <c r="L76" s="15"/>
      <c r="M76" s="24">
        <f>0</f>
        <v>0</v>
      </c>
      <c r="N76" s="15"/>
      <c r="O76" s="24">
        <f>0</f>
        <v>0</v>
      </c>
      <c r="P76" s="24">
        <f>0</f>
        <v>0</v>
      </c>
      <c r="Q76" s="28" t="s">
        <v>38</v>
      </c>
      <c r="R76" s="28" t="s">
        <v>46</v>
      </c>
      <c r="S76" s="29">
        <f>1105808.22</f>
        <v>1105808.22</v>
      </c>
      <c r="T76" s="15"/>
      <c r="U76" s="7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</row>
    <row r="77" spans="1:148" ht="15">
      <c r="A77" s="14" t="s">
        <v>30</v>
      </c>
      <c r="B77" s="15"/>
      <c r="C77" s="15"/>
      <c r="D77" s="24">
        <f>0</f>
        <v>0</v>
      </c>
      <c r="E77" s="15"/>
      <c r="F77" s="15"/>
      <c r="G77" s="15"/>
      <c r="H77" s="15"/>
      <c r="I77" s="15"/>
      <c r="J77" s="15"/>
      <c r="K77" s="15"/>
      <c r="L77" s="15"/>
      <c r="M77" s="24">
        <f>0</f>
        <v>0</v>
      </c>
      <c r="N77" s="15"/>
      <c r="O77" s="24">
        <f>0</f>
        <v>0</v>
      </c>
      <c r="P77" s="24">
        <f>0</f>
        <v>0</v>
      </c>
      <c r="Q77" s="28" t="s">
        <v>38</v>
      </c>
      <c r="R77" s="28" t="s">
        <v>47</v>
      </c>
      <c r="S77" s="29">
        <f>1070136.99</f>
        <v>1070136.99</v>
      </c>
      <c r="T77" s="15"/>
      <c r="U77" s="7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</row>
    <row r="78" spans="1:148" ht="15">
      <c r="A78" s="14" t="s">
        <v>30</v>
      </c>
      <c r="B78" s="15"/>
      <c r="C78" s="15"/>
      <c r="D78" s="24">
        <f>0</f>
        <v>0</v>
      </c>
      <c r="E78" s="15"/>
      <c r="F78" s="15"/>
      <c r="G78" s="15"/>
      <c r="H78" s="15"/>
      <c r="I78" s="15"/>
      <c r="J78" s="15"/>
      <c r="K78" s="15"/>
      <c r="L78" s="15"/>
      <c r="M78" s="24">
        <f>0</f>
        <v>0</v>
      </c>
      <c r="N78" s="15"/>
      <c r="O78" s="24">
        <f>0</f>
        <v>0</v>
      </c>
      <c r="P78" s="24">
        <f>0</f>
        <v>0</v>
      </c>
      <c r="Q78" s="28" t="s">
        <v>38</v>
      </c>
      <c r="R78" s="28" t="s">
        <v>48</v>
      </c>
      <c r="S78" s="29">
        <f>1103176.73</f>
        <v>1103176.73</v>
      </c>
      <c r="T78" s="15"/>
      <c r="U78" s="7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</row>
    <row r="79" spans="1:148" ht="15">
      <c r="A79" s="14" t="s">
        <v>30</v>
      </c>
      <c r="B79" s="15"/>
      <c r="C79" s="15"/>
      <c r="D79" s="24">
        <f>0</f>
        <v>0</v>
      </c>
      <c r="E79" s="15"/>
      <c r="F79" s="15"/>
      <c r="G79" s="15"/>
      <c r="H79" s="15"/>
      <c r="I79" s="15"/>
      <c r="J79" s="15"/>
      <c r="K79" s="15"/>
      <c r="L79" s="15"/>
      <c r="M79" s="24">
        <f>0</f>
        <v>0</v>
      </c>
      <c r="N79" s="15"/>
      <c r="O79" s="24">
        <f>0</f>
        <v>0</v>
      </c>
      <c r="P79" s="24">
        <f>0</f>
        <v>0</v>
      </c>
      <c r="Q79" s="28" t="s">
        <v>38</v>
      </c>
      <c r="R79" s="28" t="s">
        <v>49</v>
      </c>
      <c r="S79" s="29">
        <f>1102786.89</f>
        <v>1102786.89</v>
      </c>
      <c r="T79" s="15"/>
      <c r="U79" s="7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</row>
    <row r="80" spans="1:148" ht="15">
      <c r="A80" s="14" t="s">
        <v>30</v>
      </c>
      <c r="B80" s="15"/>
      <c r="C80" s="15"/>
      <c r="D80" s="24">
        <f>0</f>
        <v>0</v>
      </c>
      <c r="E80" s="15"/>
      <c r="F80" s="15"/>
      <c r="G80" s="15"/>
      <c r="H80" s="15"/>
      <c r="I80" s="15"/>
      <c r="J80" s="15"/>
      <c r="K80" s="15"/>
      <c r="L80" s="15"/>
      <c r="M80" s="24">
        <f>0</f>
        <v>0</v>
      </c>
      <c r="N80" s="15"/>
      <c r="O80" s="24">
        <f>0</f>
        <v>0</v>
      </c>
      <c r="P80" s="24">
        <f>0</f>
        <v>0</v>
      </c>
      <c r="Q80" s="28" t="s">
        <v>38</v>
      </c>
      <c r="R80" s="28" t="s">
        <v>62</v>
      </c>
      <c r="S80" s="29">
        <f>1031639.34</f>
        <v>1031639.34</v>
      </c>
      <c r="T80" s="15"/>
      <c r="U80" s="7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</row>
    <row r="81" spans="1:148" ht="15">
      <c r="A81" s="14" t="s">
        <v>30</v>
      </c>
      <c r="B81" s="15"/>
      <c r="C81" s="15"/>
      <c r="D81" s="24">
        <f>0</f>
        <v>0</v>
      </c>
      <c r="E81" s="15"/>
      <c r="F81" s="15"/>
      <c r="G81" s="15"/>
      <c r="H81" s="15"/>
      <c r="I81" s="15"/>
      <c r="J81" s="15"/>
      <c r="K81" s="15"/>
      <c r="L81" s="15"/>
      <c r="M81" s="24">
        <f>0</f>
        <v>0</v>
      </c>
      <c r="N81" s="15"/>
      <c r="O81" s="24">
        <f>0</f>
        <v>0</v>
      </c>
      <c r="P81" s="24">
        <f>0</f>
        <v>0</v>
      </c>
      <c r="Q81" s="28" t="s">
        <v>38</v>
      </c>
      <c r="R81" s="28" t="s">
        <v>63</v>
      </c>
      <c r="S81" s="29">
        <f>1102786.89</f>
        <v>1102786.89</v>
      </c>
      <c r="T81" s="15"/>
      <c r="U81" s="7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</row>
    <row r="82" spans="1:148" ht="15">
      <c r="A82" s="14" t="s">
        <v>30</v>
      </c>
      <c r="B82" s="15"/>
      <c r="C82" s="15"/>
      <c r="D82" s="24">
        <f>0</f>
        <v>0</v>
      </c>
      <c r="E82" s="15"/>
      <c r="F82" s="15"/>
      <c r="G82" s="15"/>
      <c r="H82" s="15"/>
      <c r="I82" s="15"/>
      <c r="J82" s="15"/>
      <c r="K82" s="15"/>
      <c r="L82" s="15"/>
      <c r="M82" s="24">
        <f>0</f>
        <v>0</v>
      </c>
      <c r="N82" s="15"/>
      <c r="O82" s="24">
        <f>0</f>
        <v>0</v>
      </c>
      <c r="P82" s="24">
        <f>0</f>
        <v>0</v>
      </c>
      <c r="Q82" s="28" t="s">
        <v>38</v>
      </c>
      <c r="R82" s="28" t="s">
        <v>70</v>
      </c>
      <c r="S82" s="29">
        <f>1067213.11</f>
        <v>1067213.11</v>
      </c>
      <c r="T82" s="15"/>
      <c r="U82" s="7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</row>
    <row r="83" spans="1:148" ht="15">
      <c r="A83" s="14" t="s">
        <v>30</v>
      </c>
      <c r="B83" s="15"/>
      <c r="C83" s="15"/>
      <c r="D83" s="24">
        <f>0</f>
        <v>0</v>
      </c>
      <c r="E83" s="15"/>
      <c r="F83" s="15"/>
      <c r="G83" s="15"/>
      <c r="H83" s="15"/>
      <c r="I83" s="15"/>
      <c r="J83" s="15"/>
      <c r="K83" s="15"/>
      <c r="L83" s="15"/>
      <c r="M83" s="24">
        <f>0</f>
        <v>0</v>
      </c>
      <c r="N83" s="15"/>
      <c r="O83" s="24">
        <f>0</f>
        <v>0</v>
      </c>
      <c r="P83" s="24">
        <f>0</f>
        <v>0</v>
      </c>
      <c r="Q83" s="28" t="s">
        <v>38</v>
      </c>
      <c r="R83" s="28" t="s">
        <v>71</v>
      </c>
      <c r="S83" s="29">
        <f>1102786.89</f>
        <v>1102786.89</v>
      </c>
      <c r="T83" s="15"/>
      <c r="U83" s="7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</row>
    <row r="84" spans="1:148" ht="15">
      <c r="A84" s="14" t="s">
        <v>30</v>
      </c>
      <c r="B84" s="15"/>
      <c r="C84" s="15"/>
      <c r="D84" s="24">
        <f>0</f>
        <v>0</v>
      </c>
      <c r="E84" s="15"/>
      <c r="F84" s="15"/>
      <c r="G84" s="15"/>
      <c r="H84" s="15"/>
      <c r="I84" s="15"/>
      <c r="J84" s="15"/>
      <c r="K84" s="15"/>
      <c r="L84" s="15"/>
      <c r="M84" s="24">
        <f>0</f>
        <v>0</v>
      </c>
      <c r="N84" s="15"/>
      <c r="O84" s="24">
        <f>0</f>
        <v>0</v>
      </c>
      <c r="P84" s="24">
        <f>0</f>
        <v>0</v>
      </c>
      <c r="Q84" s="28" t="s">
        <v>38</v>
      </c>
      <c r="R84" s="28" t="s">
        <v>72</v>
      </c>
      <c r="S84" s="29">
        <f>1067213.11</f>
        <v>1067213.11</v>
      </c>
      <c r="T84" s="15"/>
      <c r="U84" s="7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</row>
    <row r="85" spans="1:148" ht="15">
      <c r="A85" s="14" t="s">
        <v>30</v>
      </c>
      <c r="B85" s="15"/>
      <c r="C85" s="15"/>
      <c r="D85" s="24">
        <f>0</f>
        <v>0</v>
      </c>
      <c r="E85" s="15"/>
      <c r="F85" s="15"/>
      <c r="G85" s="15"/>
      <c r="H85" s="15"/>
      <c r="I85" s="15"/>
      <c r="J85" s="15"/>
      <c r="K85" s="15"/>
      <c r="L85" s="15"/>
      <c r="M85" s="24">
        <f>0</f>
        <v>0</v>
      </c>
      <c r="N85" s="15"/>
      <c r="O85" s="24">
        <f>0</f>
        <v>0</v>
      </c>
      <c r="P85" s="24">
        <f>0</f>
        <v>0</v>
      </c>
      <c r="Q85" s="28" t="s">
        <v>38</v>
      </c>
      <c r="R85" s="28" t="s">
        <v>73</v>
      </c>
      <c r="S85" s="29">
        <f>1102786.89</f>
        <v>1102786.89</v>
      </c>
      <c r="T85" s="15"/>
      <c r="U85" s="7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</row>
    <row r="86" spans="1:148" ht="15">
      <c r="A86" s="14" t="s">
        <v>30</v>
      </c>
      <c r="B86" s="15"/>
      <c r="C86" s="15"/>
      <c r="D86" s="24">
        <f>0</f>
        <v>0</v>
      </c>
      <c r="E86" s="15"/>
      <c r="F86" s="15"/>
      <c r="G86" s="15"/>
      <c r="H86" s="15"/>
      <c r="I86" s="15"/>
      <c r="J86" s="15"/>
      <c r="K86" s="15"/>
      <c r="L86" s="15"/>
      <c r="M86" s="24">
        <f>0</f>
        <v>0</v>
      </c>
      <c r="N86" s="15"/>
      <c r="O86" s="24">
        <f>0</f>
        <v>0</v>
      </c>
      <c r="P86" s="24">
        <f>0</f>
        <v>0</v>
      </c>
      <c r="Q86" s="28" t="s">
        <v>38</v>
      </c>
      <c r="R86" s="28" t="s">
        <v>85</v>
      </c>
      <c r="S86" s="29">
        <f>853770.49</f>
        <v>853770.49</v>
      </c>
      <c r="T86" s="15"/>
      <c r="U86" s="7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</row>
    <row r="87" spans="1:148" ht="102">
      <c r="A87" s="11" t="s">
        <v>29</v>
      </c>
      <c r="B87" s="12" t="s">
        <v>86</v>
      </c>
      <c r="C87" s="13" t="s">
        <v>31</v>
      </c>
      <c r="D87" s="23">
        <f>375000000</f>
        <v>375000000</v>
      </c>
      <c r="E87" s="13" t="s">
        <v>32</v>
      </c>
      <c r="F87" s="13" t="s">
        <v>87</v>
      </c>
      <c r="G87" s="13" t="s">
        <v>34</v>
      </c>
      <c r="H87" s="13"/>
      <c r="I87" s="13" t="s">
        <v>76</v>
      </c>
      <c r="J87" s="13" t="s">
        <v>83</v>
      </c>
      <c r="K87" s="12" t="s">
        <v>88</v>
      </c>
      <c r="L87" s="13"/>
      <c r="M87" s="23">
        <f>0</f>
        <v>0</v>
      </c>
      <c r="N87" s="13"/>
      <c r="O87" s="23">
        <f>0</f>
        <v>0</v>
      </c>
      <c r="P87" s="23">
        <f>0</f>
        <v>0</v>
      </c>
      <c r="Q87" s="26" t="s">
        <v>38</v>
      </c>
      <c r="R87" s="26" t="s">
        <v>44</v>
      </c>
      <c r="S87" s="27">
        <f>269178.08</f>
        <v>269178.08</v>
      </c>
      <c r="T87" s="13"/>
      <c r="U87" s="7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</row>
    <row r="88" spans="1:148" ht="15">
      <c r="A88" s="14" t="s">
        <v>30</v>
      </c>
      <c r="B88" s="15"/>
      <c r="C88" s="15"/>
      <c r="D88" s="24">
        <f>0</f>
        <v>0</v>
      </c>
      <c r="E88" s="15"/>
      <c r="F88" s="15"/>
      <c r="G88" s="15"/>
      <c r="H88" s="15"/>
      <c r="I88" s="15"/>
      <c r="J88" s="15"/>
      <c r="K88" s="15"/>
      <c r="L88" s="15"/>
      <c r="M88" s="24">
        <f>0</f>
        <v>0</v>
      </c>
      <c r="N88" s="15"/>
      <c r="O88" s="24">
        <f>0</f>
        <v>0</v>
      </c>
      <c r="P88" s="24">
        <f>0</f>
        <v>0</v>
      </c>
      <c r="Q88" s="28" t="s">
        <v>38</v>
      </c>
      <c r="R88" s="28" t="s">
        <v>45</v>
      </c>
      <c r="S88" s="29">
        <f>2018835.62</f>
        <v>2018835.62</v>
      </c>
      <c r="T88" s="15"/>
      <c r="U88" s="7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</row>
    <row r="89" spans="1:148" ht="15">
      <c r="A89" s="14" t="s">
        <v>30</v>
      </c>
      <c r="B89" s="15"/>
      <c r="C89" s="15"/>
      <c r="D89" s="24">
        <f>0</f>
        <v>0</v>
      </c>
      <c r="E89" s="15"/>
      <c r="F89" s="15"/>
      <c r="G89" s="15"/>
      <c r="H89" s="15"/>
      <c r="I89" s="15"/>
      <c r="J89" s="15"/>
      <c r="K89" s="15"/>
      <c r="L89" s="15"/>
      <c r="M89" s="24">
        <f>0</f>
        <v>0</v>
      </c>
      <c r="N89" s="15"/>
      <c r="O89" s="24">
        <f>0</f>
        <v>0</v>
      </c>
      <c r="P89" s="24">
        <f>0</f>
        <v>0</v>
      </c>
      <c r="Q89" s="28" t="s">
        <v>38</v>
      </c>
      <c r="R89" s="28" t="s">
        <v>46</v>
      </c>
      <c r="S89" s="29">
        <f>2086130.14</f>
        <v>2086130.14</v>
      </c>
      <c r="T89" s="15"/>
      <c r="U89" s="7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</row>
    <row r="90" spans="1:148" ht="15">
      <c r="A90" s="14" t="s">
        <v>30</v>
      </c>
      <c r="B90" s="15"/>
      <c r="C90" s="15"/>
      <c r="D90" s="24">
        <f>0</f>
        <v>0</v>
      </c>
      <c r="E90" s="15"/>
      <c r="F90" s="15"/>
      <c r="G90" s="15"/>
      <c r="H90" s="15"/>
      <c r="I90" s="15"/>
      <c r="J90" s="15"/>
      <c r="K90" s="15"/>
      <c r="L90" s="15"/>
      <c r="M90" s="24">
        <f>0</f>
        <v>0</v>
      </c>
      <c r="N90" s="15"/>
      <c r="O90" s="24">
        <f>0</f>
        <v>0</v>
      </c>
      <c r="P90" s="24">
        <f>0</f>
        <v>0</v>
      </c>
      <c r="Q90" s="28" t="s">
        <v>38</v>
      </c>
      <c r="R90" s="28" t="s">
        <v>47</v>
      </c>
      <c r="S90" s="29">
        <f>2018835.62</f>
        <v>2018835.62</v>
      </c>
      <c r="T90" s="15"/>
      <c r="U90" s="7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</row>
    <row r="91" spans="1:148" ht="15">
      <c r="A91" s="14" t="s">
        <v>30</v>
      </c>
      <c r="B91" s="15"/>
      <c r="C91" s="15"/>
      <c r="D91" s="24">
        <f>0</f>
        <v>0</v>
      </c>
      <c r="E91" s="15"/>
      <c r="F91" s="15"/>
      <c r="G91" s="15"/>
      <c r="H91" s="15"/>
      <c r="I91" s="15"/>
      <c r="J91" s="15"/>
      <c r="K91" s="15"/>
      <c r="L91" s="15"/>
      <c r="M91" s="24">
        <f>0</f>
        <v>0</v>
      </c>
      <c r="N91" s="15"/>
      <c r="O91" s="24">
        <f>0</f>
        <v>0</v>
      </c>
      <c r="P91" s="24">
        <f>0</f>
        <v>0</v>
      </c>
      <c r="Q91" s="28" t="s">
        <v>38</v>
      </c>
      <c r="R91" s="28" t="s">
        <v>48</v>
      </c>
      <c r="S91" s="29">
        <f>2081165.78</f>
        <v>2081165.78</v>
      </c>
      <c r="T91" s="15"/>
      <c r="U91" s="7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</row>
    <row r="92" spans="1:148" ht="15">
      <c r="A92" s="14" t="s">
        <v>30</v>
      </c>
      <c r="B92" s="15"/>
      <c r="C92" s="15"/>
      <c r="D92" s="24">
        <f>0</f>
        <v>0</v>
      </c>
      <c r="E92" s="15"/>
      <c r="F92" s="15"/>
      <c r="G92" s="15"/>
      <c r="H92" s="15"/>
      <c r="I92" s="15"/>
      <c r="J92" s="15"/>
      <c r="K92" s="15"/>
      <c r="L92" s="15"/>
      <c r="M92" s="24">
        <f>0</f>
        <v>0</v>
      </c>
      <c r="N92" s="15"/>
      <c r="O92" s="24">
        <f>0</f>
        <v>0</v>
      </c>
      <c r="P92" s="24">
        <f>0</f>
        <v>0</v>
      </c>
      <c r="Q92" s="28" t="s">
        <v>38</v>
      </c>
      <c r="R92" s="28" t="s">
        <v>49</v>
      </c>
      <c r="S92" s="29">
        <f>2080430.33</f>
        <v>2080430.33</v>
      </c>
      <c r="T92" s="15"/>
      <c r="U92" s="7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</row>
    <row r="93" spans="1:148" ht="15">
      <c r="A93" s="14" t="s">
        <v>30</v>
      </c>
      <c r="B93" s="15"/>
      <c r="C93" s="15"/>
      <c r="D93" s="24">
        <f>0</f>
        <v>0</v>
      </c>
      <c r="E93" s="15"/>
      <c r="F93" s="15"/>
      <c r="G93" s="15"/>
      <c r="H93" s="15"/>
      <c r="I93" s="15"/>
      <c r="J93" s="15"/>
      <c r="K93" s="15"/>
      <c r="L93" s="15"/>
      <c r="M93" s="24">
        <f>0</f>
        <v>0</v>
      </c>
      <c r="N93" s="15"/>
      <c r="O93" s="24">
        <f>0</f>
        <v>0</v>
      </c>
      <c r="P93" s="24">
        <f>0</f>
        <v>0</v>
      </c>
      <c r="Q93" s="28" t="s">
        <v>38</v>
      </c>
      <c r="R93" s="28" t="s">
        <v>62</v>
      </c>
      <c r="S93" s="29">
        <f>1946209.02</f>
        <v>1946209.02</v>
      </c>
      <c r="T93" s="15"/>
      <c r="U93" s="7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</row>
    <row r="94" spans="1:148" ht="15">
      <c r="A94" s="14" t="s">
        <v>30</v>
      </c>
      <c r="B94" s="15"/>
      <c r="C94" s="15"/>
      <c r="D94" s="24">
        <f>0</f>
        <v>0</v>
      </c>
      <c r="E94" s="15"/>
      <c r="F94" s="15"/>
      <c r="G94" s="15"/>
      <c r="H94" s="15"/>
      <c r="I94" s="15"/>
      <c r="J94" s="15"/>
      <c r="K94" s="15"/>
      <c r="L94" s="15"/>
      <c r="M94" s="24">
        <f>0</f>
        <v>0</v>
      </c>
      <c r="N94" s="15"/>
      <c r="O94" s="24">
        <f>0</f>
        <v>0</v>
      </c>
      <c r="P94" s="24">
        <f>0</f>
        <v>0</v>
      </c>
      <c r="Q94" s="28" t="s">
        <v>38</v>
      </c>
      <c r="R94" s="28" t="s">
        <v>63</v>
      </c>
      <c r="S94" s="29">
        <f>2080430.33</f>
        <v>2080430.33</v>
      </c>
      <c r="T94" s="15"/>
      <c r="U94" s="7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</row>
    <row r="95" spans="1:148" ht="15">
      <c r="A95" s="14" t="s">
        <v>30</v>
      </c>
      <c r="B95" s="15"/>
      <c r="C95" s="15"/>
      <c r="D95" s="24">
        <f>0</f>
        <v>0</v>
      </c>
      <c r="E95" s="15"/>
      <c r="F95" s="15"/>
      <c r="G95" s="15"/>
      <c r="H95" s="15"/>
      <c r="I95" s="15"/>
      <c r="J95" s="15"/>
      <c r="K95" s="15"/>
      <c r="L95" s="15"/>
      <c r="M95" s="24">
        <f>0</f>
        <v>0</v>
      </c>
      <c r="N95" s="15"/>
      <c r="O95" s="24">
        <f>0</f>
        <v>0</v>
      </c>
      <c r="P95" s="24">
        <f>0</f>
        <v>0</v>
      </c>
      <c r="Q95" s="28" t="s">
        <v>38</v>
      </c>
      <c r="R95" s="28" t="s">
        <v>70</v>
      </c>
      <c r="S95" s="29">
        <f>2013319.67</f>
        <v>2013319.67</v>
      </c>
      <c r="T95" s="15"/>
      <c r="U95" s="7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</row>
    <row r="96" spans="1:148" ht="15">
      <c r="A96" s="14" t="s">
        <v>30</v>
      </c>
      <c r="B96" s="15"/>
      <c r="C96" s="15"/>
      <c r="D96" s="24">
        <f>0</f>
        <v>0</v>
      </c>
      <c r="E96" s="15"/>
      <c r="F96" s="15"/>
      <c r="G96" s="15"/>
      <c r="H96" s="15"/>
      <c r="I96" s="15"/>
      <c r="J96" s="15"/>
      <c r="K96" s="15"/>
      <c r="L96" s="15"/>
      <c r="M96" s="24">
        <f>0</f>
        <v>0</v>
      </c>
      <c r="N96" s="15"/>
      <c r="O96" s="24">
        <f>0</f>
        <v>0</v>
      </c>
      <c r="P96" s="24">
        <f>0</f>
        <v>0</v>
      </c>
      <c r="Q96" s="28" t="s">
        <v>38</v>
      </c>
      <c r="R96" s="28" t="s">
        <v>71</v>
      </c>
      <c r="S96" s="29">
        <f>2080430.33</f>
        <v>2080430.33</v>
      </c>
      <c r="T96" s="15"/>
      <c r="U96" s="7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</row>
    <row r="97" spans="1:148" ht="15">
      <c r="A97" s="14" t="s">
        <v>30</v>
      </c>
      <c r="B97" s="15"/>
      <c r="C97" s="15"/>
      <c r="D97" s="24">
        <f>0</f>
        <v>0</v>
      </c>
      <c r="E97" s="15"/>
      <c r="F97" s="15"/>
      <c r="G97" s="15"/>
      <c r="H97" s="15"/>
      <c r="I97" s="15"/>
      <c r="J97" s="15"/>
      <c r="K97" s="15"/>
      <c r="L97" s="15"/>
      <c r="M97" s="24">
        <f>0</f>
        <v>0</v>
      </c>
      <c r="N97" s="15"/>
      <c r="O97" s="24">
        <f>0</f>
        <v>0</v>
      </c>
      <c r="P97" s="24">
        <f>0</f>
        <v>0</v>
      </c>
      <c r="Q97" s="28" t="s">
        <v>38</v>
      </c>
      <c r="R97" s="28" t="s">
        <v>72</v>
      </c>
      <c r="S97" s="29">
        <f>2013319.67</f>
        <v>2013319.67</v>
      </c>
      <c r="T97" s="15"/>
      <c r="U97" s="7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</row>
    <row r="98" spans="1:148" ht="15">
      <c r="A98" s="14" t="s">
        <v>30</v>
      </c>
      <c r="B98" s="15"/>
      <c r="C98" s="15"/>
      <c r="D98" s="24">
        <f>0</f>
        <v>0</v>
      </c>
      <c r="E98" s="15"/>
      <c r="F98" s="15"/>
      <c r="G98" s="15"/>
      <c r="H98" s="15"/>
      <c r="I98" s="15"/>
      <c r="J98" s="15"/>
      <c r="K98" s="15"/>
      <c r="L98" s="15"/>
      <c r="M98" s="24">
        <f>0</f>
        <v>0</v>
      </c>
      <c r="N98" s="15"/>
      <c r="O98" s="24">
        <f>0</f>
        <v>0</v>
      </c>
      <c r="P98" s="24">
        <f>0</f>
        <v>0</v>
      </c>
      <c r="Q98" s="28" t="s">
        <v>38</v>
      </c>
      <c r="R98" s="28" t="s">
        <v>73</v>
      </c>
      <c r="S98" s="29">
        <f>2080430.33</f>
        <v>2080430.33</v>
      </c>
      <c r="T98" s="15"/>
      <c r="U98" s="7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</row>
    <row r="99" spans="1:148" ht="15">
      <c r="A99" s="14" t="s">
        <v>30</v>
      </c>
      <c r="B99" s="15"/>
      <c r="C99" s="15"/>
      <c r="D99" s="24">
        <f>0</f>
        <v>0</v>
      </c>
      <c r="E99" s="15"/>
      <c r="F99" s="15"/>
      <c r="G99" s="15"/>
      <c r="H99" s="15"/>
      <c r="I99" s="15"/>
      <c r="J99" s="15"/>
      <c r="K99" s="15"/>
      <c r="L99" s="15"/>
      <c r="M99" s="24">
        <f>0</f>
        <v>0</v>
      </c>
      <c r="N99" s="15"/>
      <c r="O99" s="24">
        <f>0</f>
        <v>0</v>
      </c>
      <c r="P99" s="24">
        <f>0</f>
        <v>0</v>
      </c>
      <c r="Q99" s="28" t="s">
        <v>38</v>
      </c>
      <c r="R99" s="28" t="s">
        <v>85</v>
      </c>
      <c r="S99" s="29">
        <f>1610655.74</f>
        <v>1610655.74</v>
      </c>
      <c r="T99" s="15"/>
      <c r="U99" s="7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</row>
    <row r="100" spans="1:148" ht="102">
      <c r="A100" s="11" t="s">
        <v>29</v>
      </c>
      <c r="B100" s="12" t="s">
        <v>89</v>
      </c>
      <c r="C100" s="13" t="s">
        <v>31</v>
      </c>
      <c r="D100" s="23">
        <f>45000000</f>
        <v>45000000</v>
      </c>
      <c r="E100" s="13" t="s">
        <v>32</v>
      </c>
      <c r="F100" s="13" t="s">
        <v>90</v>
      </c>
      <c r="G100" s="13" t="s">
        <v>34</v>
      </c>
      <c r="H100" s="13"/>
      <c r="I100" s="13" t="s">
        <v>76</v>
      </c>
      <c r="J100" s="13" t="s">
        <v>83</v>
      </c>
      <c r="K100" s="12" t="s">
        <v>61</v>
      </c>
      <c r="L100" s="13"/>
      <c r="M100" s="23">
        <f>0</f>
        <v>0</v>
      </c>
      <c r="N100" s="13"/>
      <c r="O100" s="23">
        <f>0</f>
        <v>0</v>
      </c>
      <c r="P100" s="23">
        <f>0</f>
        <v>0</v>
      </c>
      <c r="Q100" s="26" t="s">
        <v>38</v>
      </c>
      <c r="R100" s="26" t="s">
        <v>44</v>
      </c>
      <c r="S100" s="27">
        <f>31906.85</f>
        <v>31906.85</v>
      </c>
      <c r="T100" s="13"/>
      <c r="U100" s="7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</row>
    <row r="101" spans="1:148" ht="15">
      <c r="A101" s="14" t="s">
        <v>30</v>
      </c>
      <c r="B101" s="15"/>
      <c r="C101" s="15"/>
      <c r="D101" s="24">
        <f>0</f>
        <v>0</v>
      </c>
      <c r="E101" s="15"/>
      <c r="F101" s="15"/>
      <c r="G101" s="15"/>
      <c r="H101" s="15"/>
      <c r="I101" s="15"/>
      <c r="J101" s="15"/>
      <c r="K101" s="15"/>
      <c r="L101" s="15"/>
      <c r="M101" s="24">
        <f>0</f>
        <v>0</v>
      </c>
      <c r="N101" s="15"/>
      <c r="O101" s="24">
        <f>0</f>
        <v>0</v>
      </c>
      <c r="P101" s="24">
        <f>0</f>
        <v>0</v>
      </c>
      <c r="Q101" s="28" t="s">
        <v>38</v>
      </c>
      <c r="R101" s="28" t="s">
        <v>45</v>
      </c>
      <c r="S101" s="29">
        <f>239301.37</f>
        <v>239301.37</v>
      </c>
      <c r="T101" s="15"/>
      <c r="U101" s="7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</row>
    <row r="102" spans="1:148" ht="15">
      <c r="A102" s="14" t="s">
        <v>30</v>
      </c>
      <c r="B102" s="15"/>
      <c r="C102" s="15"/>
      <c r="D102" s="24">
        <f>0</f>
        <v>0</v>
      </c>
      <c r="E102" s="15"/>
      <c r="F102" s="15"/>
      <c r="G102" s="15"/>
      <c r="H102" s="15"/>
      <c r="I102" s="15"/>
      <c r="J102" s="15"/>
      <c r="K102" s="15"/>
      <c r="L102" s="15"/>
      <c r="M102" s="24">
        <f>0</f>
        <v>0</v>
      </c>
      <c r="N102" s="15"/>
      <c r="O102" s="24">
        <f>0</f>
        <v>0</v>
      </c>
      <c r="P102" s="24">
        <f>0</f>
        <v>0</v>
      </c>
      <c r="Q102" s="28" t="s">
        <v>38</v>
      </c>
      <c r="R102" s="28" t="s">
        <v>46</v>
      </c>
      <c r="S102" s="29">
        <f>247278.08</f>
        <v>247278.08</v>
      </c>
      <c r="T102" s="15"/>
      <c r="U102" s="7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</row>
    <row r="103" spans="1:148" ht="15">
      <c r="A103" s="14" t="s">
        <v>30</v>
      </c>
      <c r="B103" s="15"/>
      <c r="C103" s="15"/>
      <c r="D103" s="24">
        <f>0</f>
        <v>0</v>
      </c>
      <c r="E103" s="15"/>
      <c r="F103" s="15"/>
      <c r="G103" s="15"/>
      <c r="H103" s="15"/>
      <c r="I103" s="15"/>
      <c r="J103" s="15"/>
      <c r="K103" s="15"/>
      <c r="L103" s="15"/>
      <c r="M103" s="24">
        <f>0</f>
        <v>0</v>
      </c>
      <c r="N103" s="15"/>
      <c r="O103" s="24">
        <f>0</f>
        <v>0</v>
      </c>
      <c r="P103" s="24">
        <f>0</f>
        <v>0</v>
      </c>
      <c r="Q103" s="28" t="s">
        <v>38</v>
      </c>
      <c r="R103" s="28" t="s">
        <v>47</v>
      </c>
      <c r="S103" s="29">
        <f>239301.37</f>
        <v>239301.37</v>
      </c>
      <c r="T103" s="15"/>
      <c r="U103" s="7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</row>
    <row r="104" spans="1:148" ht="15">
      <c r="A104" s="14" t="s">
        <v>30</v>
      </c>
      <c r="B104" s="15"/>
      <c r="C104" s="15"/>
      <c r="D104" s="24">
        <f>0</f>
        <v>0</v>
      </c>
      <c r="E104" s="15"/>
      <c r="F104" s="15"/>
      <c r="G104" s="15"/>
      <c r="H104" s="15"/>
      <c r="I104" s="15"/>
      <c r="J104" s="15"/>
      <c r="K104" s="15"/>
      <c r="L104" s="15"/>
      <c r="M104" s="24">
        <f>0</f>
        <v>0</v>
      </c>
      <c r="N104" s="15"/>
      <c r="O104" s="24">
        <f>0</f>
        <v>0</v>
      </c>
      <c r="P104" s="24">
        <f>0</f>
        <v>0</v>
      </c>
      <c r="Q104" s="28" t="s">
        <v>38</v>
      </c>
      <c r="R104" s="28" t="s">
        <v>48</v>
      </c>
      <c r="S104" s="29">
        <f>246689.64</f>
        <v>246689.64</v>
      </c>
      <c r="T104" s="15"/>
      <c r="U104" s="7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</row>
    <row r="105" spans="1:148" ht="15">
      <c r="A105" s="14" t="s">
        <v>30</v>
      </c>
      <c r="B105" s="15"/>
      <c r="C105" s="15"/>
      <c r="D105" s="24">
        <f>0</f>
        <v>0</v>
      </c>
      <c r="E105" s="15"/>
      <c r="F105" s="15"/>
      <c r="G105" s="15"/>
      <c r="H105" s="15"/>
      <c r="I105" s="15"/>
      <c r="J105" s="15"/>
      <c r="K105" s="15"/>
      <c r="L105" s="15"/>
      <c r="M105" s="24">
        <f>0</f>
        <v>0</v>
      </c>
      <c r="N105" s="15"/>
      <c r="O105" s="24">
        <f>0</f>
        <v>0</v>
      </c>
      <c r="P105" s="24">
        <f>0</f>
        <v>0</v>
      </c>
      <c r="Q105" s="28" t="s">
        <v>38</v>
      </c>
      <c r="R105" s="28" t="s">
        <v>49</v>
      </c>
      <c r="S105" s="29">
        <f>246602.46</f>
        <v>246602.46</v>
      </c>
      <c r="T105" s="15"/>
      <c r="U105" s="7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</row>
    <row r="106" spans="1:148" ht="15">
      <c r="A106" s="14" t="s">
        <v>30</v>
      </c>
      <c r="B106" s="15"/>
      <c r="C106" s="15"/>
      <c r="D106" s="24">
        <f>0</f>
        <v>0</v>
      </c>
      <c r="E106" s="15"/>
      <c r="F106" s="15"/>
      <c r="G106" s="15"/>
      <c r="H106" s="15"/>
      <c r="I106" s="15"/>
      <c r="J106" s="15"/>
      <c r="K106" s="15"/>
      <c r="L106" s="15"/>
      <c r="M106" s="24">
        <f>0</f>
        <v>0</v>
      </c>
      <c r="N106" s="15"/>
      <c r="O106" s="24">
        <f>0</f>
        <v>0</v>
      </c>
      <c r="P106" s="24">
        <f>0</f>
        <v>0</v>
      </c>
      <c r="Q106" s="28" t="s">
        <v>38</v>
      </c>
      <c r="R106" s="28" t="s">
        <v>62</v>
      </c>
      <c r="S106" s="29">
        <f>230692.62</f>
        <v>230692.62</v>
      </c>
      <c r="T106" s="15"/>
      <c r="U106" s="7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</row>
    <row r="107" spans="1:148" ht="15">
      <c r="A107" s="14" t="s">
        <v>30</v>
      </c>
      <c r="B107" s="15"/>
      <c r="C107" s="15"/>
      <c r="D107" s="24">
        <f>0</f>
        <v>0</v>
      </c>
      <c r="E107" s="15"/>
      <c r="F107" s="15"/>
      <c r="G107" s="15"/>
      <c r="H107" s="15"/>
      <c r="I107" s="15"/>
      <c r="J107" s="15"/>
      <c r="K107" s="15"/>
      <c r="L107" s="15"/>
      <c r="M107" s="24">
        <f>0</f>
        <v>0</v>
      </c>
      <c r="N107" s="15"/>
      <c r="O107" s="24">
        <f>0</f>
        <v>0</v>
      </c>
      <c r="P107" s="24">
        <f>0</f>
        <v>0</v>
      </c>
      <c r="Q107" s="28" t="s">
        <v>38</v>
      </c>
      <c r="R107" s="28" t="s">
        <v>63</v>
      </c>
      <c r="S107" s="29">
        <f>246602.46</f>
        <v>246602.46</v>
      </c>
      <c r="T107" s="15"/>
      <c r="U107" s="7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</row>
    <row r="108" spans="1:148" ht="15">
      <c r="A108" s="14" t="s">
        <v>30</v>
      </c>
      <c r="B108" s="15"/>
      <c r="C108" s="15"/>
      <c r="D108" s="24">
        <f>0</f>
        <v>0</v>
      </c>
      <c r="E108" s="15"/>
      <c r="F108" s="15"/>
      <c r="G108" s="15"/>
      <c r="H108" s="15"/>
      <c r="I108" s="15"/>
      <c r="J108" s="15"/>
      <c r="K108" s="15"/>
      <c r="L108" s="15"/>
      <c r="M108" s="24">
        <f>0</f>
        <v>0</v>
      </c>
      <c r="N108" s="15"/>
      <c r="O108" s="24">
        <f>0</f>
        <v>0</v>
      </c>
      <c r="P108" s="24">
        <f>0</f>
        <v>0</v>
      </c>
      <c r="Q108" s="28" t="s">
        <v>38</v>
      </c>
      <c r="R108" s="28" t="s">
        <v>70</v>
      </c>
      <c r="S108" s="29">
        <f>238647.54</f>
        <v>238647.54</v>
      </c>
      <c r="T108" s="15"/>
      <c r="U108" s="7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</row>
    <row r="109" spans="1:148" ht="15">
      <c r="A109" s="14" t="s">
        <v>30</v>
      </c>
      <c r="B109" s="15"/>
      <c r="C109" s="15"/>
      <c r="D109" s="24">
        <f>0</f>
        <v>0</v>
      </c>
      <c r="E109" s="15"/>
      <c r="F109" s="15"/>
      <c r="G109" s="15"/>
      <c r="H109" s="15"/>
      <c r="I109" s="15"/>
      <c r="J109" s="15"/>
      <c r="K109" s="15"/>
      <c r="L109" s="15"/>
      <c r="M109" s="24">
        <f>0</f>
        <v>0</v>
      </c>
      <c r="N109" s="15"/>
      <c r="O109" s="24">
        <f>0</f>
        <v>0</v>
      </c>
      <c r="P109" s="24">
        <f>0</f>
        <v>0</v>
      </c>
      <c r="Q109" s="28" t="s">
        <v>38</v>
      </c>
      <c r="R109" s="28" t="s">
        <v>71</v>
      </c>
      <c r="S109" s="29">
        <f>246602.46</f>
        <v>246602.46</v>
      </c>
      <c r="T109" s="15"/>
      <c r="U109" s="7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</row>
    <row r="110" spans="1:148" ht="15">
      <c r="A110" s="14" t="s">
        <v>30</v>
      </c>
      <c r="B110" s="15"/>
      <c r="C110" s="15"/>
      <c r="D110" s="24">
        <f>0</f>
        <v>0</v>
      </c>
      <c r="E110" s="15"/>
      <c r="F110" s="15"/>
      <c r="G110" s="15"/>
      <c r="H110" s="15"/>
      <c r="I110" s="15"/>
      <c r="J110" s="15"/>
      <c r="K110" s="15"/>
      <c r="L110" s="15"/>
      <c r="M110" s="24">
        <f>0</f>
        <v>0</v>
      </c>
      <c r="N110" s="15"/>
      <c r="O110" s="24">
        <f>0</f>
        <v>0</v>
      </c>
      <c r="P110" s="24">
        <f>0</f>
        <v>0</v>
      </c>
      <c r="Q110" s="28" t="s">
        <v>38</v>
      </c>
      <c r="R110" s="28" t="s">
        <v>72</v>
      </c>
      <c r="S110" s="29">
        <f>238647.54</f>
        <v>238647.54</v>
      </c>
      <c r="T110" s="15"/>
      <c r="U110" s="7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</row>
    <row r="111" spans="1:148" ht="15">
      <c r="A111" s="14" t="s">
        <v>30</v>
      </c>
      <c r="B111" s="15"/>
      <c r="C111" s="15"/>
      <c r="D111" s="24">
        <f>0</f>
        <v>0</v>
      </c>
      <c r="E111" s="15"/>
      <c r="F111" s="15"/>
      <c r="G111" s="15"/>
      <c r="H111" s="15"/>
      <c r="I111" s="15"/>
      <c r="J111" s="15"/>
      <c r="K111" s="15"/>
      <c r="L111" s="15"/>
      <c r="M111" s="24">
        <f>0</f>
        <v>0</v>
      </c>
      <c r="N111" s="15"/>
      <c r="O111" s="24">
        <f>0</f>
        <v>0</v>
      </c>
      <c r="P111" s="24">
        <f>0</f>
        <v>0</v>
      </c>
      <c r="Q111" s="28" t="s">
        <v>38</v>
      </c>
      <c r="R111" s="28" t="s">
        <v>73</v>
      </c>
      <c r="S111" s="29">
        <f>246602.46</f>
        <v>246602.46</v>
      </c>
      <c r="T111" s="15"/>
      <c r="U111" s="7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</row>
    <row r="112" spans="1:148" ht="15">
      <c r="A112" s="14" t="s">
        <v>30</v>
      </c>
      <c r="B112" s="15"/>
      <c r="C112" s="15"/>
      <c r="D112" s="24">
        <f>0</f>
        <v>0</v>
      </c>
      <c r="E112" s="15"/>
      <c r="F112" s="15"/>
      <c r="G112" s="15"/>
      <c r="H112" s="15"/>
      <c r="I112" s="15"/>
      <c r="J112" s="15"/>
      <c r="K112" s="15"/>
      <c r="L112" s="15"/>
      <c r="M112" s="24">
        <f>0</f>
        <v>0</v>
      </c>
      <c r="N112" s="15"/>
      <c r="O112" s="24">
        <f>0</f>
        <v>0</v>
      </c>
      <c r="P112" s="24">
        <f>0</f>
        <v>0</v>
      </c>
      <c r="Q112" s="28" t="s">
        <v>38</v>
      </c>
      <c r="R112" s="28" t="s">
        <v>85</v>
      </c>
      <c r="S112" s="29">
        <f>190918.03</f>
        <v>190918.03</v>
      </c>
      <c r="T112" s="15"/>
      <c r="U112" s="7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</row>
    <row r="113" spans="1:148" ht="102">
      <c r="A113" s="11" t="s">
        <v>29</v>
      </c>
      <c r="B113" s="12" t="s">
        <v>91</v>
      </c>
      <c r="C113" s="13" t="s">
        <v>31</v>
      </c>
      <c r="D113" s="23">
        <f>200000000</f>
        <v>200000000</v>
      </c>
      <c r="E113" s="13" t="s">
        <v>32</v>
      </c>
      <c r="F113" s="13" t="s">
        <v>92</v>
      </c>
      <c r="G113" s="13" t="s">
        <v>34</v>
      </c>
      <c r="H113" s="13"/>
      <c r="I113" s="13" t="s">
        <v>93</v>
      </c>
      <c r="J113" s="13" t="s">
        <v>94</v>
      </c>
      <c r="K113" s="12" t="s">
        <v>95</v>
      </c>
      <c r="L113" s="13"/>
      <c r="M113" s="23">
        <f>0</f>
        <v>0</v>
      </c>
      <c r="N113" s="13"/>
      <c r="O113" s="23">
        <f>0</f>
        <v>0</v>
      </c>
      <c r="P113" s="23">
        <f>0</f>
        <v>0</v>
      </c>
      <c r="Q113" s="26" t="s">
        <v>38</v>
      </c>
      <c r="R113" s="26" t="s">
        <v>46</v>
      </c>
      <c r="S113" s="27">
        <f>1168657.53</f>
        <v>1168657.53</v>
      </c>
      <c r="T113" s="13"/>
      <c r="U113" s="7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</row>
    <row r="114" spans="1:148" ht="15">
      <c r="A114" s="14" t="s">
        <v>30</v>
      </c>
      <c r="B114" s="15"/>
      <c r="C114" s="15"/>
      <c r="D114" s="24">
        <f>0</f>
        <v>0</v>
      </c>
      <c r="E114" s="15"/>
      <c r="F114" s="15"/>
      <c r="G114" s="15"/>
      <c r="H114" s="15"/>
      <c r="I114" s="15"/>
      <c r="J114" s="15"/>
      <c r="K114" s="15"/>
      <c r="L114" s="15"/>
      <c r="M114" s="24">
        <f>0</f>
        <v>0</v>
      </c>
      <c r="N114" s="15"/>
      <c r="O114" s="24">
        <f>0</f>
        <v>0</v>
      </c>
      <c r="P114" s="24">
        <f>0</f>
        <v>0</v>
      </c>
      <c r="Q114" s="28" t="s">
        <v>38</v>
      </c>
      <c r="R114" s="28" t="s">
        <v>47</v>
      </c>
      <c r="S114" s="29">
        <f>1130958.9</f>
        <v>1130958.9</v>
      </c>
      <c r="T114" s="15"/>
      <c r="U114" s="7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</row>
    <row r="115" spans="1:148" ht="15">
      <c r="A115" s="14" t="s">
        <v>30</v>
      </c>
      <c r="B115" s="15"/>
      <c r="C115" s="15"/>
      <c r="D115" s="24">
        <f>0</f>
        <v>0</v>
      </c>
      <c r="E115" s="15"/>
      <c r="F115" s="15"/>
      <c r="G115" s="15"/>
      <c r="H115" s="15"/>
      <c r="I115" s="15"/>
      <c r="J115" s="15"/>
      <c r="K115" s="15"/>
      <c r="L115" s="15"/>
      <c r="M115" s="24">
        <f>0</f>
        <v>0</v>
      </c>
      <c r="N115" s="15"/>
      <c r="O115" s="24">
        <f>0</f>
        <v>0</v>
      </c>
      <c r="P115" s="24">
        <f>0</f>
        <v>0</v>
      </c>
      <c r="Q115" s="28" t="s">
        <v>38</v>
      </c>
      <c r="R115" s="28" t="s">
        <v>48</v>
      </c>
      <c r="S115" s="29">
        <f>1165876.49</f>
        <v>1165876.49</v>
      </c>
      <c r="T115" s="15"/>
      <c r="U115" s="7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</row>
    <row r="116" spans="1:148" ht="15">
      <c r="A116" s="14" t="s">
        <v>30</v>
      </c>
      <c r="B116" s="15"/>
      <c r="C116" s="15"/>
      <c r="D116" s="24">
        <f>0</f>
        <v>0</v>
      </c>
      <c r="E116" s="15"/>
      <c r="F116" s="15"/>
      <c r="G116" s="15"/>
      <c r="H116" s="15"/>
      <c r="I116" s="15"/>
      <c r="J116" s="15"/>
      <c r="K116" s="15"/>
      <c r="L116" s="15"/>
      <c r="M116" s="24">
        <f>0</f>
        <v>0</v>
      </c>
      <c r="N116" s="15"/>
      <c r="O116" s="24">
        <f>0</f>
        <v>0</v>
      </c>
      <c r="P116" s="24">
        <f>0</f>
        <v>0</v>
      </c>
      <c r="Q116" s="28" t="s">
        <v>38</v>
      </c>
      <c r="R116" s="28" t="s">
        <v>49</v>
      </c>
      <c r="S116" s="29">
        <f>1165464.48</f>
        <v>1165464.48</v>
      </c>
      <c r="T116" s="15"/>
      <c r="U116" s="7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</row>
    <row r="117" spans="1:148" ht="15">
      <c r="A117" s="14" t="s">
        <v>30</v>
      </c>
      <c r="B117" s="15"/>
      <c r="C117" s="15"/>
      <c r="D117" s="24">
        <f>0</f>
        <v>0</v>
      </c>
      <c r="E117" s="15"/>
      <c r="F117" s="15"/>
      <c r="G117" s="15"/>
      <c r="H117" s="15"/>
      <c r="I117" s="15"/>
      <c r="J117" s="15"/>
      <c r="K117" s="15"/>
      <c r="L117" s="15"/>
      <c r="M117" s="24">
        <f>0</f>
        <v>0</v>
      </c>
      <c r="N117" s="15"/>
      <c r="O117" s="24">
        <f>0</f>
        <v>0</v>
      </c>
      <c r="P117" s="24">
        <f>0</f>
        <v>0</v>
      </c>
      <c r="Q117" s="28" t="s">
        <v>38</v>
      </c>
      <c r="R117" s="28" t="s">
        <v>62</v>
      </c>
      <c r="S117" s="29">
        <f>1090273.22</f>
        <v>1090273.22</v>
      </c>
      <c r="T117" s="15"/>
      <c r="U117" s="7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</row>
    <row r="118" spans="1:148" ht="15">
      <c r="A118" s="14" t="s">
        <v>30</v>
      </c>
      <c r="B118" s="15"/>
      <c r="C118" s="15"/>
      <c r="D118" s="24">
        <f>0</f>
        <v>0</v>
      </c>
      <c r="E118" s="15"/>
      <c r="F118" s="15"/>
      <c r="G118" s="15"/>
      <c r="H118" s="15"/>
      <c r="I118" s="15"/>
      <c r="J118" s="15"/>
      <c r="K118" s="15"/>
      <c r="L118" s="15"/>
      <c r="M118" s="24">
        <f>0</f>
        <v>0</v>
      </c>
      <c r="N118" s="15"/>
      <c r="O118" s="24">
        <f>0</f>
        <v>0</v>
      </c>
      <c r="P118" s="24">
        <f>0</f>
        <v>0</v>
      </c>
      <c r="Q118" s="28" t="s">
        <v>38</v>
      </c>
      <c r="R118" s="28" t="s">
        <v>63</v>
      </c>
      <c r="S118" s="29">
        <f>1165464.48</f>
        <v>1165464.48</v>
      </c>
      <c r="T118" s="15"/>
      <c r="U118" s="7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</row>
    <row r="119" spans="1:148" ht="15">
      <c r="A119" s="14" t="s">
        <v>30</v>
      </c>
      <c r="B119" s="15"/>
      <c r="C119" s="15"/>
      <c r="D119" s="24">
        <f>0</f>
        <v>0</v>
      </c>
      <c r="E119" s="15"/>
      <c r="F119" s="15"/>
      <c r="G119" s="15"/>
      <c r="H119" s="15"/>
      <c r="I119" s="15"/>
      <c r="J119" s="15"/>
      <c r="K119" s="15"/>
      <c r="L119" s="15"/>
      <c r="M119" s="24">
        <f>0</f>
        <v>0</v>
      </c>
      <c r="N119" s="15"/>
      <c r="O119" s="24">
        <f>0</f>
        <v>0</v>
      </c>
      <c r="P119" s="24">
        <f>0</f>
        <v>0</v>
      </c>
      <c r="Q119" s="28" t="s">
        <v>38</v>
      </c>
      <c r="R119" s="28" t="s">
        <v>70</v>
      </c>
      <c r="S119" s="29">
        <f>1127868.85</f>
        <v>1127868.85</v>
      </c>
      <c r="T119" s="15"/>
      <c r="U119" s="7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</row>
    <row r="120" spans="1:148" ht="15">
      <c r="A120" s="14" t="s">
        <v>30</v>
      </c>
      <c r="B120" s="15"/>
      <c r="C120" s="15"/>
      <c r="D120" s="24">
        <f>0</f>
        <v>0</v>
      </c>
      <c r="E120" s="15"/>
      <c r="F120" s="15"/>
      <c r="G120" s="15"/>
      <c r="H120" s="15"/>
      <c r="I120" s="15"/>
      <c r="J120" s="15"/>
      <c r="K120" s="15"/>
      <c r="L120" s="15"/>
      <c r="M120" s="24">
        <f>0</f>
        <v>0</v>
      </c>
      <c r="N120" s="15"/>
      <c r="O120" s="24">
        <f>0</f>
        <v>0</v>
      </c>
      <c r="P120" s="24">
        <f>0</f>
        <v>0</v>
      </c>
      <c r="Q120" s="28" t="s">
        <v>38</v>
      </c>
      <c r="R120" s="28" t="s">
        <v>71</v>
      </c>
      <c r="S120" s="29">
        <f>1165464.48</f>
        <v>1165464.48</v>
      </c>
      <c r="T120" s="15"/>
      <c r="U120" s="7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</row>
    <row r="121" spans="1:148" ht="15">
      <c r="A121" s="14" t="s">
        <v>30</v>
      </c>
      <c r="B121" s="15"/>
      <c r="C121" s="15"/>
      <c r="D121" s="24">
        <f>0</f>
        <v>0</v>
      </c>
      <c r="E121" s="15"/>
      <c r="F121" s="15"/>
      <c r="G121" s="15"/>
      <c r="H121" s="15"/>
      <c r="I121" s="15"/>
      <c r="J121" s="15"/>
      <c r="K121" s="15"/>
      <c r="L121" s="15"/>
      <c r="M121" s="24">
        <f>0</f>
        <v>0</v>
      </c>
      <c r="N121" s="15"/>
      <c r="O121" s="24">
        <f>0</f>
        <v>0</v>
      </c>
      <c r="P121" s="24">
        <f>0</f>
        <v>0</v>
      </c>
      <c r="Q121" s="28" t="s">
        <v>38</v>
      </c>
      <c r="R121" s="28" t="s">
        <v>72</v>
      </c>
      <c r="S121" s="29">
        <f>1127868.85</f>
        <v>1127868.85</v>
      </c>
      <c r="T121" s="15"/>
      <c r="U121" s="7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</row>
    <row r="122" spans="1:148" ht="15">
      <c r="A122" s="14" t="s">
        <v>30</v>
      </c>
      <c r="B122" s="15"/>
      <c r="C122" s="15"/>
      <c r="D122" s="24">
        <f>0</f>
        <v>0</v>
      </c>
      <c r="E122" s="15"/>
      <c r="F122" s="15"/>
      <c r="G122" s="15"/>
      <c r="H122" s="15"/>
      <c r="I122" s="15"/>
      <c r="J122" s="15"/>
      <c r="K122" s="15"/>
      <c r="L122" s="15"/>
      <c r="M122" s="24">
        <f>0</f>
        <v>0</v>
      </c>
      <c r="N122" s="15"/>
      <c r="O122" s="24">
        <f>0</f>
        <v>0</v>
      </c>
      <c r="P122" s="24">
        <f>0</f>
        <v>0</v>
      </c>
      <c r="Q122" s="28" t="s">
        <v>38</v>
      </c>
      <c r="R122" s="28" t="s">
        <v>73</v>
      </c>
      <c r="S122" s="29">
        <f>1165464.48</f>
        <v>1165464.48</v>
      </c>
      <c r="T122" s="15"/>
      <c r="U122" s="7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</row>
    <row r="123" spans="1:148" ht="15">
      <c r="A123" s="14" t="s">
        <v>30</v>
      </c>
      <c r="B123" s="15"/>
      <c r="C123" s="15"/>
      <c r="D123" s="24">
        <f>0</f>
        <v>0</v>
      </c>
      <c r="E123" s="15"/>
      <c r="F123" s="15"/>
      <c r="G123" s="15"/>
      <c r="H123" s="15"/>
      <c r="I123" s="15"/>
      <c r="J123" s="15"/>
      <c r="K123" s="15"/>
      <c r="L123" s="15"/>
      <c r="M123" s="24">
        <f>0</f>
        <v>0</v>
      </c>
      <c r="N123" s="15"/>
      <c r="O123" s="24">
        <f>0</f>
        <v>0</v>
      </c>
      <c r="P123" s="24">
        <f>0</f>
        <v>0</v>
      </c>
      <c r="Q123" s="28" t="s">
        <v>38</v>
      </c>
      <c r="R123" s="28" t="s">
        <v>79</v>
      </c>
      <c r="S123" s="29">
        <f>1165464.48</f>
        <v>1165464.48</v>
      </c>
      <c r="T123" s="15"/>
      <c r="U123" s="7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</row>
    <row r="124" spans="1:148" ht="15">
      <c r="A124" s="14" t="s">
        <v>30</v>
      </c>
      <c r="B124" s="15"/>
      <c r="C124" s="15"/>
      <c r="D124" s="24">
        <f>0</f>
        <v>0</v>
      </c>
      <c r="E124" s="15"/>
      <c r="F124" s="15"/>
      <c r="G124" s="15"/>
      <c r="H124" s="15"/>
      <c r="I124" s="15"/>
      <c r="J124" s="15"/>
      <c r="K124" s="15"/>
      <c r="L124" s="15"/>
      <c r="M124" s="24">
        <f>0</f>
        <v>0</v>
      </c>
      <c r="N124" s="15"/>
      <c r="O124" s="24">
        <f>0</f>
        <v>0</v>
      </c>
      <c r="P124" s="24">
        <f>0</f>
        <v>0</v>
      </c>
      <c r="Q124" s="28" t="s">
        <v>38</v>
      </c>
      <c r="R124" s="28" t="s">
        <v>80</v>
      </c>
      <c r="S124" s="29">
        <f>488743.17</f>
        <v>488743.17</v>
      </c>
      <c r="T124" s="15"/>
      <c r="U124" s="7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</row>
    <row r="125" spans="1:148" ht="102">
      <c r="A125" s="11" t="s">
        <v>29</v>
      </c>
      <c r="B125" s="12" t="s">
        <v>96</v>
      </c>
      <c r="C125" s="13" t="s">
        <v>31</v>
      </c>
      <c r="D125" s="23">
        <f>100000000</f>
        <v>100000000</v>
      </c>
      <c r="E125" s="13" t="s">
        <v>32</v>
      </c>
      <c r="F125" s="13" t="s">
        <v>97</v>
      </c>
      <c r="G125" s="13" t="s">
        <v>34</v>
      </c>
      <c r="H125" s="13"/>
      <c r="I125" s="13" t="s">
        <v>98</v>
      </c>
      <c r="J125" s="13" t="s">
        <v>99</v>
      </c>
      <c r="K125" s="12" t="s">
        <v>100</v>
      </c>
      <c r="L125" s="13"/>
      <c r="M125" s="23">
        <f>0</f>
        <v>0</v>
      </c>
      <c r="N125" s="13"/>
      <c r="O125" s="23">
        <f>0</f>
        <v>0</v>
      </c>
      <c r="P125" s="23">
        <f>0</f>
        <v>0</v>
      </c>
      <c r="Q125" s="26" t="s">
        <v>38</v>
      </c>
      <c r="R125" s="26" t="s">
        <v>46</v>
      </c>
      <c r="S125" s="27">
        <f>212383.56</f>
        <v>212383.56</v>
      </c>
      <c r="T125" s="13"/>
      <c r="U125" s="7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</row>
    <row r="126" spans="1:148" ht="15">
      <c r="A126" s="14" t="s">
        <v>30</v>
      </c>
      <c r="B126" s="15"/>
      <c r="C126" s="15"/>
      <c r="D126" s="24">
        <f>0</f>
        <v>0</v>
      </c>
      <c r="E126" s="15"/>
      <c r="F126" s="15"/>
      <c r="G126" s="15"/>
      <c r="H126" s="15"/>
      <c r="I126" s="15"/>
      <c r="J126" s="15"/>
      <c r="K126" s="15"/>
      <c r="L126" s="15"/>
      <c r="M126" s="24">
        <f>0</f>
        <v>0</v>
      </c>
      <c r="N126" s="15"/>
      <c r="O126" s="24">
        <f>0</f>
        <v>0</v>
      </c>
      <c r="P126" s="24">
        <f>0</f>
        <v>0</v>
      </c>
      <c r="Q126" s="28" t="s">
        <v>38</v>
      </c>
      <c r="R126" s="28" t="s">
        <v>47</v>
      </c>
      <c r="S126" s="29">
        <f>530958.9</f>
        <v>530958.9</v>
      </c>
      <c r="T126" s="15"/>
      <c r="U126" s="7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</row>
    <row r="127" spans="1:148" ht="15">
      <c r="A127" s="14" t="s">
        <v>30</v>
      </c>
      <c r="B127" s="15"/>
      <c r="C127" s="15"/>
      <c r="D127" s="24">
        <f>0</f>
        <v>0</v>
      </c>
      <c r="E127" s="15"/>
      <c r="F127" s="15"/>
      <c r="G127" s="15"/>
      <c r="H127" s="15"/>
      <c r="I127" s="15"/>
      <c r="J127" s="15"/>
      <c r="K127" s="15"/>
      <c r="L127" s="15"/>
      <c r="M127" s="24">
        <f>0</f>
        <v>0</v>
      </c>
      <c r="N127" s="15"/>
      <c r="O127" s="24">
        <f>0</f>
        <v>0</v>
      </c>
      <c r="P127" s="24">
        <f>0</f>
        <v>0</v>
      </c>
      <c r="Q127" s="28" t="s">
        <v>38</v>
      </c>
      <c r="R127" s="28" t="s">
        <v>48</v>
      </c>
      <c r="S127" s="29">
        <f>547351.9</f>
        <v>547351.9</v>
      </c>
      <c r="T127" s="15"/>
      <c r="U127" s="7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</row>
    <row r="128" spans="1:148" ht="15">
      <c r="A128" s="14" t="s">
        <v>30</v>
      </c>
      <c r="B128" s="15"/>
      <c r="C128" s="15"/>
      <c r="D128" s="24">
        <f>0</f>
        <v>0</v>
      </c>
      <c r="E128" s="15"/>
      <c r="F128" s="15"/>
      <c r="G128" s="15"/>
      <c r="H128" s="15"/>
      <c r="I128" s="15"/>
      <c r="J128" s="15"/>
      <c r="K128" s="15"/>
      <c r="L128" s="15"/>
      <c r="M128" s="24">
        <f>0</f>
        <v>0</v>
      </c>
      <c r="N128" s="15"/>
      <c r="O128" s="24">
        <f>0</f>
        <v>0</v>
      </c>
      <c r="P128" s="24">
        <f>0</f>
        <v>0</v>
      </c>
      <c r="Q128" s="28" t="s">
        <v>38</v>
      </c>
      <c r="R128" s="28" t="s">
        <v>49</v>
      </c>
      <c r="S128" s="29">
        <f>547158.47</f>
        <v>547158.47</v>
      </c>
      <c r="T128" s="15"/>
      <c r="U128" s="7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</row>
    <row r="129" spans="1:148" ht="15">
      <c r="A129" s="14" t="s">
        <v>30</v>
      </c>
      <c r="B129" s="15"/>
      <c r="C129" s="15"/>
      <c r="D129" s="24">
        <f>0</f>
        <v>0</v>
      </c>
      <c r="E129" s="15"/>
      <c r="F129" s="15"/>
      <c r="G129" s="15"/>
      <c r="H129" s="15"/>
      <c r="I129" s="15"/>
      <c r="J129" s="15"/>
      <c r="K129" s="15"/>
      <c r="L129" s="15"/>
      <c r="M129" s="24">
        <f>0</f>
        <v>0</v>
      </c>
      <c r="N129" s="15"/>
      <c r="O129" s="24">
        <f>0</f>
        <v>0</v>
      </c>
      <c r="P129" s="24">
        <f>0</f>
        <v>0</v>
      </c>
      <c r="Q129" s="28" t="s">
        <v>38</v>
      </c>
      <c r="R129" s="28" t="s">
        <v>62</v>
      </c>
      <c r="S129" s="29">
        <f>511857.92</f>
        <v>511857.92</v>
      </c>
      <c r="T129" s="15"/>
      <c r="U129" s="7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</row>
    <row r="130" spans="1:148" ht="15">
      <c r="A130" s="14" t="s">
        <v>30</v>
      </c>
      <c r="B130" s="15"/>
      <c r="C130" s="15"/>
      <c r="D130" s="24">
        <f>0</f>
        <v>0</v>
      </c>
      <c r="E130" s="15"/>
      <c r="F130" s="15"/>
      <c r="G130" s="15"/>
      <c r="H130" s="15"/>
      <c r="I130" s="15"/>
      <c r="J130" s="15"/>
      <c r="K130" s="15"/>
      <c r="L130" s="15"/>
      <c r="M130" s="24">
        <f>0</f>
        <v>0</v>
      </c>
      <c r="N130" s="15"/>
      <c r="O130" s="24">
        <f>0</f>
        <v>0</v>
      </c>
      <c r="P130" s="24">
        <f>0</f>
        <v>0</v>
      </c>
      <c r="Q130" s="28" t="s">
        <v>38</v>
      </c>
      <c r="R130" s="28" t="s">
        <v>63</v>
      </c>
      <c r="S130" s="29">
        <f>547158.47</f>
        <v>547158.47</v>
      </c>
      <c r="T130" s="15"/>
      <c r="U130" s="7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</row>
    <row r="131" spans="1:148" ht="15">
      <c r="A131" s="14" t="s">
        <v>30</v>
      </c>
      <c r="B131" s="15"/>
      <c r="C131" s="15"/>
      <c r="D131" s="24">
        <f>0</f>
        <v>0</v>
      </c>
      <c r="E131" s="15"/>
      <c r="F131" s="15"/>
      <c r="G131" s="15"/>
      <c r="H131" s="15"/>
      <c r="I131" s="15"/>
      <c r="J131" s="15"/>
      <c r="K131" s="15"/>
      <c r="L131" s="15"/>
      <c r="M131" s="24">
        <f>0</f>
        <v>0</v>
      </c>
      <c r="N131" s="15"/>
      <c r="O131" s="24">
        <f>0</f>
        <v>0</v>
      </c>
      <c r="P131" s="24">
        <f>0</f>
        <v>0</v>
      </c>
      <c r="Q131" s="28" t="s">
        <v>38</v>
      </c>
      <c r="R131" s="28" t="s">
        <v>70</v>
      </c>
      <c r="S131" s="29">
        <f>529508.2</f>
        <v>529508.2</v>
      </c>
      <c r="T131" s="15"/>
      <c r="U131" s="7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</row>
    <row r="132" spans="1:148" ht="15">
      <c r="A132" s="14" t="s">
        <v>30</v>
      </c>
      <c r="B132" s="15"/>
      <c r="C132" s="15"/>
      <c r="D132" s="24">
        <f>0</f>
        <v>0</v>
      </c>
      <c r="E132" s="15"/>
      <c r="F132" s="15"/>
      <c r="G132" s="15"/>
      <c r="H132" s="15"/>
      <c r="I132" s="15"/>
      <c r="J132" s="15"/>
      <c r="K132" s="15"/>
      <c r="L132" s="15"/>
      <c r="M132" s="24">
        <f>0</f>
        <v>0</v>
      </c>
      <c r="N132" s="15"/>
      <c r="O132" s="24">
        <f>0</f>
        <v>0</v>
      </c>
      <c r="P132" s="24">
        <f>0</f>
        <v>0</v>
      </c>
      <c r="Q132" s="28" t="s">
        <v>38</v>
      </c>
      <c r="R132" s="28" t="s">
        <v>71</v>
      </c>
      <c r="S132" s="29">
        <f>547158.47</f>
        <v>547158.47</v>
      </c>
      <c r="T132" s="15"/>
      <c r="U132" s="7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</row>
    <row r="133" spans="1:148" ht="15">
      <c r="A133" s="14" t="s">
        <v>30</v>
      </c>
      <c r="B133" s="15"/>
      <c r="C133" s="15"/>
      <c r="D133" s="24">
        <f>0</f>
        <v>0</v>
      </c>
      <c r="E133" s="15"/>
      <c r="F133" s="15"/>
      <c r="G133" s="15"/>
      <c r="H133" s="15"/>
      <c r="I133" s="15"/>
      <c r="J133" s="15"/>
      <c r="K133" s="15"/>
      <c r="L133" s="15"/>
      <c r="M133" s="24">
        <f>0</f>
        <v>0</v>
      </c>
      <c r="N133" s="15"/>
      <c r="O133" s="24">
        <f>0</f>
        <v>0</v>
      </c>
      <c r="P133" s="24">
        <f>0</f>
        <v>0</v>
      </c>
      <c r="Q133" s="28" t="s">
        <v>38</v>
      </c>
      <c r="R133" s="28" t="s">
        <v>72</v>
      </c>
      <c r="S133" s="29">
        <f>529508.2</f>
        <v>529508.2</v>
      </c>
      <c r="T133" s="15"/>
      <c r="U133" s="7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</row>
    <row r="134" spans="1:148" ht="15">
      <c r="A134" s="14" t="s">
        <v>30</v>
      </c>
      <c r="B134" s="15"/>
      <c r="C134" s="15"/>
      <c r="D134" s="24">
        <f>0</f>
        <v>0</v>
      </c>
      <c r="E134" s="15"/>
      <c r="F134" s="15"/>
      <c r="G134" s="15"/>
      <c r="H134" s="15"/>
      <c r="I134" s="15"/>
      <c r="J134" s="15"/>
      <c r="K134" s="15"/>
      <c r="L134" s="15"/>
      <c r="M134" s="24">
        <f>0</f>
        <v>0</v>
      </c>
      <c r="N134" s="15"/>
      <c r="O134" s="24">
        <f>0</f>
        <v>0</v>
      </c>
      <c r="P134" s="24">
        <f>0</f>
        <v>0</v>
      </c>
      <c r="Q134" s="28" t="s">
        <v>38</v>
      </c>
      <c r="R134" s="28" t="s">
        <v>73</v>
      </c>
      <c r="S134" s="29">
        <f>547158.47</f>
        <v>547158.47</v>
      </c>
      <c r="T134" s="15"/>
      <c r="U134" s="7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</row>
    <row r="135" spans="1:148" ht="15">
      <c r="A135" s="14" t="s">
        <v>30</v>
      </c>
      <c r="B135" s="15"/>
      <c r="C135" s="15"/>
      <c r="D135" s="24">
        <f>0</f>
        <v>0</v>
      </c>
      <c r="E135" s="15"/>
      <c r="F135" s="15"/>
      <c r="G135" s="15"/>
      <c r="H135" s="15"/>
      <c r="I135" s="15"/>
      <c r="J135" s="15"/>
      <c r="K135" s="15"/>
      <c r="L135" s="15"/>
      <c r="M135" s="24">
        <f>0</f>
        <v>0</v>
      </c>
      <c r="N135" s="15"/>
      <c r="O135" s="24">
        <f>0</f>
        <v>0</v>
      </c>
      <c r="P135" s="24">
        <f>0</f>
        <v>0</v>
      </c>
      <c r="Q135" s="28" t="s">
        <v>38</v>
      </c>
      <c r="R135" s="28" t="s">
        <v>79</v>
      </c>
      <c r="S135" s="29">
        <f>547158.47</f>
        <v>547158.47</v>
      </c>
      <c r="T135" s="15"/>
      <c r="U135" s="7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</row>
    <row r="136" spans="1:148" ht="15">
      <c r="A136" s="14" t="s">
        <v>30</v>
      </c>
      <c r="B136" s="15"/>
      <c r="C136" s="15"/>
      <c r="D136" s="24">
        <f>0</f>
        <v>0</v>
      </c>
      <c r="E136" s="15"/>
      <c r="F136" s="15"/>
      <c r="G136" s="15"/>
      <c r="H136" s="15"/>
      <c r="I136" s="15"/>
      <c r="J136" s="15"/>
      <c r="K136" s="15"/>
      <c r="L136" s="15"/>
      <c r="M136" s="24">
        <f>0</f>
        <v>0</v>
      </c>
      <c r="N136" s="15"/>
      <c r="O136" s="24">
        <f>0</f>
        <v>0</v>
      </c>
      <c r="P136" s="24">
        <f>0</f>
        <v>0</v>
      </c>
      <c r="Q136" s="28" t="s">
        <v>38</v>
      </c>
      <c r="R136" s="28" t="s">
        <v>94</v>
      </c>
      <c r="S136" s="29">
        <f>529508.2</f>
        <v>529508.2</v>
      </c>
      <c r="T136" s="15"/>
      <c r="U136" s="7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</row>
    <row r="137" spans="1:148" ht="15">
      <c r="A137" s="14" t="s">
        <v>30</v>
      </c>
      <c r="B137" s="15"/>
      <c r="C137" s="15"/>
      <c r="D137" s="24">
        <f>0</f>
        <v>0</v>
      </c>
      <c r="E137" s="15"/>
      <c r="F137" s="15"/>
      <c r="G137" s="15"/>
      <c r="H137" s="15"/>
      <c r="I137" s="15"/>
      <c r="J137" s="15"/>
      <c r="K137" s="15"/>
      <c r="L137" s="15"/>
      <c r="M137" s="24">
        <f>0</f>
        <v>0</v>
      </c>
      <c r="N137" s="15"/>
      <c r="O137" s="24">
        <f>0</f>
        <v>0</v>
      </c>
      <c r="P137" s="24">
        <f>0</f>
        <v>0</v>
      </c>
      <c r="Q137" s="28" t="s">
        <v>38</v>
      </c>
      <c r="R137" s="28" t="s">
        <v>101</v>
      </c>
      <c r="S137" s="29">
        <f>300054.64</f>
        <v>300054.64</v>
      </c>
      <c r="T137" s="15"/>
      <c r="U137" s="7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</row>
    <row r="138" spans="1:148" ht="102">
      <c r="A138" s="11" t="s">
        <v>29</v>
      </c>
      <c r="B138" s="12" t="s">
        <v>102</v>
      </c>
      <c r="C138" s="13" t="s">
        <v>31</v>
      </c>
      <c r="D138" s="23">
        <f>170000000</f>
        <v>170000000</v>
      </c>
      <c r="E138" s="13" t="s">
        <v>32</v>
      </c>
      <c r="F138" s="13" t="s">
        <v>103</v>
      </c>
      <c r="G138" s="13" t="s">
        <v>34</v>
      </c>
      <c r="H138" s="13"/>
      <c r="I138" s="13" t="s">
        <v>98</v>
      </c>
      <c r="J138" s="13" t="s">
        <v>99</v>
      </c>
      <c r="K138" s="12" t="s">
        <v>104</v>
      </c>
      <c r="L138" s="13"/>
      <c r="M138" s="23">
        <f>0</f>
        <v>0</v>
      </c>
      <c r="N138" s="13"/>
      <c r="O138" s="23">
        <f>0</f>
        <v>0</v>
      </c>
      <c r="P138" s="23">
        <f>0</f>
        <v>0</v>
      </c>
      <c r="Q138" s="26" t="s">
        <v>38</v>
      </c>
      <c r="R138" s="26" t="s">
        <v>46</v>
      </c>
      <c r="S138" s="27">
        <f>388997.26</f>
        <v>388997.26</v>
      </c>
      <c r="T138" s="13"/>
      <c r="U138" s="7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</row>
    <row r="139" spans="1:148" ht="15">
      <c r="A139" s="14" t="s">
        <v>30</v>
      </c>
      <c r="B139" s="15"/>
      <c r="C139" s="15"/>
      <c r="D139" s="24">
        <f>0</f>
        <v>0</v>
      </c>
      <c r="E139" s="15"/>
      <c r="F139" s="15"/>
      <c r="G139" s="15"/>
      <c r="H139" s="15"/>
      <c r="I139" s="15"/>
      <c r="J139" s="15"/>
      <c r="K139" s="15"/>
      <c r="L139" s="15"/>
      <c r="M139" s="24">
        <f>0</f>
        <v>0</v>
      </c>
      <c r="N139" s="15"/>
      <c r="O139" s="24">
        <f>0</f>
        <v>0</v>
      </c>
      <c r="P139" s="24">
        <f>0</f>
        <v>0</v>
      </c>
      <c r="Q139" s="28" t="s">
        <v>38</v>
      </c>
      <c r="R139" s="28" t="s">
        <v>47</v>
      </c>
      <c r="S139" s="29">
        <f>972493.15</f>
        <v>972493.15</v>
      </c>
      <c r="T139" s="15"/>
      <c r="U139" s="7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</row>
    <row r="140" spans="1:148" ht="15">
      <c r="A140" s="14" t="s">
        <v>30</v>
      </c>
      <c r="B140" s="15"/>
      <c r="C140" s="15"/>
      <c r="D140" s="24">
        <f>0</f>
        <v>0</v>
      </c>
      <c r="E140" s="15"/>
      <c r="F140" s="15"/>
      <c r="G140" s="15"/>
      <c r="H140" s="15"/>
      <c r="I140" s="15"/>
      <c r="J140" s="15"/>
      <c r="K140" s="15"/>
      <c r="L140" s="15"/>
      <c r="M140" s="24">
        <f>0</f>
        <v>0</v>
      </c>
      <c r="N140" s="15"/>
      <c r="O140" s="24">
        <f>0</f>
        <v>0</v>
      </c>
      <c r="P140" s="24">
        <f>0</f>
        <v>0</v>
      </c>
      <c r="Q140" s="28" t="s">
        <v>38</v>
      </c>
      <c r="R140" s="28" t="s">
        <v>48</v>
      </c>
      <c r="S140" s="29">
        <f>1002518.21</f>
        <v>1002518.21</v>
      </c>
      <c r="T140" s="15"/>
      <c r="U140" s="7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</row>
    <row r="141" spans="1:148" ht="15">
      <c r="A141" s="14" t="s">
        <v>30</v>
      </c>
      <c r="B141" s="15"/>
      <c r="C141" s="15"/>
      <c r="D141" s="24">
        <f>0</f>
        <v>0</v>
      </c>
      <c r="E141" s="15"/>
      <c r="F141" s="15"/>
      <c r="G141" s="15"/>
      <c r="H141" s="15"/>
      <c r="I141" s="15"/>
      <c r="J141" s="15"/>
      <c r="K141" s="15"/>
      <c r="L141" s="15"/>
      <c r="M141" s="24">
        <f>0</f>
        <v>0</v>
      </c>
      <c r="N141" s="15"/>
      <c r="O141" s="24">
        <f>0</f>
        <v>0</v>
      </c>
      <c r="P141" s="24">
        <f>0</f>
        <v>0</v>
      </c>
      <c r="Q141" s="28" t="s">
        <v>38</v>
      </c>
      <c r="R141" s="28" t="s">
        <v>49</v>
      </c>
      <c r="S141" s="29">
        <f>1002163.93</f>
        <v>1002163.93</v>
      </c>
      <c r="T141" s="15"/>
      <c r="U141" s="7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</row>
    <row r="142" spans="1:148" ht="15">
      <c r="A142" s="14" t="s">
        <v>30</v>
      </c>
      <c r="B142" s="15"/>
      <c r="C142" s="15"/>
      <c r="D142" s="24">
        <f>0</f>
        <v>0</v>
      </c>
      <c r="E142" s="15"/>
      <c r="F142" s="15"/>
      <c r="G142" s="15"/>
      <c r="H142" s="15"/>
      <c r="I142" s="15"/>
      <c r="J142" s="15"/>
      <c r="K142" s="15"/>
      <c r="L142" s="15"/>
      <c r="M142" s="24">
        <f>0</f>
        <v>0</v>
      </c>
      <c r="N142" s="15"/>
      <c r="O142" s="24">
        <f>0</f>
        <v>0</v>
      </c>
      <c r="P142" s="24">
        <f>0</f>
        <v>0</v>
      </c>
      <c r="Q142" s="28" t="s">
        <v>38</v>
      </c>
      <c r="R142" s="28" t="s">
        <v>62</v>
      </c>
      <c r="S142" s="29">
        <f>937508.2</f>
        <v>937508.2</v>
      </c>
      <c r="T142" s="15"/>
      <c r="U142" s="7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</row>
    <row r="143" spans="1:148" ht="15">
      <c r="A143" s="14" t="s">
        <v>30</v>
      </c>
      <c r="B143" s="15"/>
      <c r="C143" s="15"/>
      <c r="D143" s="24">
        <f>0</f>
        <v>0</v>
      </c>
      <c r="E143" s="15"/>
      <c r="F143" s="15"/>
      <c r="G143" s="15"/>
      <c r="H143" s="15"/>
      <c r="I143" s="15"/>
      <c r="J143" s="15"/>
      <c r="K143" s="15"/>
      <c r="L143" s="15"/>
      <c r="M143" s="24">
        <f>0</f>
        <v>0</v>
      </c>
      <c r="N143" s="15"/>
      <c r="O143" s="24">
        <f>0</f>
        <v>0</v>
      </c>
      <c r="P143" s="24">
        <f>0</f>
        <v>0</v>
      </c>
      <c r="Q143" s="28" t="s">
        <v>38</v>
      </c>
      <c r="R143" s="28" t="s">
        <v>63</v>
      </c>
      <c r="S143" s="29">
        <f>1002163.93</f>
        <v>1002163.93</v>
      </c>
      <c r="T143" s="15"/>
      <c r="U143" s="7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</row>
    <row r="144" spans="1:148" ht="15">
      <c r="A144" s="14" t="s">
        <v>30</v>
      </c>
      <c r="B144" s="15"/>
      <c r="C144" s="15"/>
      <c r="D144" s="24">
        <f>0</f>
        <v>0</v>
      </c>
      <c r="E144" s="15"/>
      <c r="F144" s="15"/>
      <c r="G144" s="15"/>
      <c r="H144" s="15"/>
      <c r="I144" s="15"/>
      <c r="J144" s="15"/>
      <c r="K144" s="15"/>
      <c r="L144" s="15"/>
      <c r="M144" s="24">
        <f>0</f>
        <v>0</v>
      </c>
      <c r="N144" s="15"/>
      <c r="O144" s="24">
        <f>0</f>
        <v>0</v>
      </c>
      <c r="P144" s="24">
        <f>0</f>
        <v>0</v>
      </c>
      <c r="Q144" s="28" t="s">
        <v>38</v>
      </c>
      <c r="R144" s="28" t="s">
        <v>70</v>
      </c>
      <c r="S144" s="29">
        <f>969836.07</f>
        <v>969836.07</v>
      </c>
      <c r="T144" s="15"/>
      <c r="U144" s="7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</row>
    <row r="145" spans="1:148" ht="15">
      <c r="A145" s="14" t="s">
        <v>30</v>
      </c>
      <c r="B145" s="15"/>
      <c r="C145" s="15"/>
      <c r="D145" s="24">
        <f>0</f>
        <v>0</v>
      </c>
      <c r="E145" s="15"/>
      <c r="F145" s="15"/>
      <c r="G145" s="15"/>
      <c r="H145" s="15"/>
      <c r="I145" s="15"/>
      <c r="J145" s="15"/>
      <c r="K145" s="15"/>
      <c r="L145" s="15"/>
      <c r="M145" s="24">
        <f>0</f>
        <v>0</v>
      </c>
      <c r="N145" s="15"/>
      <c r="O145" s="24">
        <f>0</f>
        <v>0</v>
      </c>
      <c r="P145" s="24">
        <f>0</f>
        <v>0</v>
      </c>
      <c r="Q145" s="28" t="s">
        <v>38</v>
      </c>
      <c r="R145" s="28" t="s">
        <v>71</v>
      </c>
      <c r="S145" s="29">
        <f>1002163.93</f>
        <v>1002163.93</v>
      </c>
      <c r="T145" s="15"/>
      <c r="U145" s="7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</row>
    <row r="146" spans="1:148" ht="15">
      <c r="A146" s="14" t="s">
        <v>30</v>
      </c>
      <c r="B146" s="15"/>
      <c r="C146" s="15"/>
      <c r="D146" s="24">
        <f>0</f>
        <v>0</v>
      </c>
      <c r="E146" s="15"/>
      <c r="F146" s="15"/>
      <c r="G146" s="15"/>
      <c r="H146" s="15"/>
      <c r="I146" s="15"/>
      <c r="J146" s="15"/>
      <c r="K146" s="15"/>
      <c r="L146" s="15"/>
      <c r="M146" s="24">
        <f>0</f>
        <v>0</v>
      </c>
      <c r="N146" s="15"/>
      <c r="O146" s="24">
        <f>0</f>
        <v>0</v>
      </c>
      <c r="P146" s="24">
        <f>0</f>
        <v>0</v>
      </c>
      <c r="Q146" s="28" t="s">
        <v>38</v>
      </c>
      <c r="R146" s="28" t="s">
        <v>72</v>
      </c>
      <c r="S146" s="29">
        <f>969836.07</f>
        <v>969836.07</v>
      </c>
      <c r="T146" s="15"/>
      <c r="U146" s="7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</row>
    <row r="147" spans="1:148" ht="15">
      <c r="A147" s="14" t="s">
        <v>30</v>
      </c>
      <c r="B147" s="15"/>
      <c r="C147" s="15"/>
      <c r="D147" s="24">
        <f>0</f>
        <v>0</v>
      </c>
      <c r="E147" s="15"/>
      <c r="F147" s="15"/>
      <c r="G147" s="15"/>
      <c r="H147" s="15"/>
      <c r="I147" s="15"/>
      <c r="J147" s="15"/>
      <c r="K147" s="15"/>
      <c r="L147" s="15"/>
      <c r="M147" s="24">
        <f>0</f>
        <v>0</v>
      </c>
      <c r="N147" s="15"/>
      <c r="O147" s="24">
        <f>0</f>
        <v>0</v>
      </c>
      <c r="P147" s="24">
        <f>0</f>
        <v>0</v>
      </c>
      <c r="Q147" s="28" t="s">
        <v>38</v>
      </c>
      <c r="R147" s="28" t="s">
        <v>73</v>
      </c>
      <c r="S147" s="29">
        <f>1002163.93</f>
        <v>1002163.93</v>
      </c>
      <c r="T147" s="15"/>
      <c r="U147" s="7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</row>
    <row r="148" spans="1:148" ht="15">
      <c r="A148" s="14" t="s">
        <v>30</v>
      </c>
      <c r="B148" s="15"/>
      <c r="C148" s="15"/>
      <c r="D148" s="24">
        <f>0</f>
        <v>0</v>
      </c>
      <c r="E148" s="15"/>
      <c r="F148" s="15"/>
      <c r="G148" s="15"/>
      <c r="H148" s="15"/>
      <c r="I148" s="15"/>
      <c r="J148" s="15"/>
      <c r="K148" s="15"/>
      <c r="L148" s="15"/>
      <c r="M148" s="24">
        <f>0</f>
        <v>0</v>
      </c>
      <c r="N148" s="15"/>
      <c r="O148" s="24">
        <f>0</f>
        <v>0</v>
      </c>
      <c r="P148" s="24">
        <f>0</f>
        <v>0</v>
      </c>
      <c r="Q148" s="28" t="s">
        <v>38</v>
      </c>
      <c r="R148" s="28" t="s">
        <v>79</v>
      </c>
      <c r="S148" s="29">
        <f>1002163.93</f>
        <v>1002163.93</v>
      </c>
      <c r="T148" s="15"/>
      <c r="U148" s="7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</row>
    <row r="149" spans="1:148" ht="15">
      <c r="A149" s="14" t="s">
        <v>30</v>
      </c>
      <c r="B149" s="15"/>
      <c r="C149" s="15"/>
      <c r="D149" s="24">
        <f>0</f>
        <v>0</v>
      </c>
      <c r="E149" s="15"/>
      <c r="F149" s="15"/>
      <c r="G149" s="15"/>
      <c r="H149" s="15"/>
      <c r="I149" s="15"/>
      <c r="J149" s="15"/>
      <c r="K149" s="15"/>
      <c r="L149" s="15"/>
      <c r="M149" s="24">
        <f>0</f>
        <v>0</v>
      </c>
      <c r="N149" s="15"/>
      <c r="O149" s="24">
        <f>0</f>
        <v>0</v>
      </c>
      <c r="P149" s="24">
        <f>0</f>
        <v>0</v>
      </c>
      <c r="Q149" s="28" t="s">
        <v>38</v>
      </c>
      <c r="R149" s="28" t="s">
        <v>94</v>
      </c>
      <c r="S149" s="29">
        <f>937508.2</f>
        <v>937508.2</v>
      </c>
      <c r="T149" s="15"/>
      <c r="U149" s="7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</row>
    <row r="150" spans="1:148" ht="15">
      <c r="A150" s="14" t="s">
        <v>30</v>
      </c>
      <c r="B150" s="15"/>
      <c r="C150" s="15"/>
      <c r="D150" s="24">
        <f>0</f>
        <v>0</v>
      </c>
      <c r="E150" s="15"/>
      <c r="F150" s="15"/>
      <c r="G150" s="15"/>
      <c r="H150" s="15"/>
      <c r="I150" s="15"/>
      <c r="J150" s="15"/>
      <c r="K150" s="15"/>
      <c r="L150" s="15"/>
      <c r="M150" s="24">
        <f>0</f>
        <v>0</v>
      </c>
      <c r="N150" s="15"/>
      <c r="O150" s="24">
        <f>0</f>
        <v>0</v>
      </c>
      <c r="P150" s="24">
        <f>0</f>
        <v>0</v>
      </c>
      <c r="Q150" s="28" t="s">
        <v>38</v>
      </c>
      <c r="R150" s="28" t="s">
        <v>101</v>
      </c>
      <c r="S150" s="29">
        <f>517245.9</f>
        <v>517245.9</v>
      </c>
      <c r="T150" s="15"/>
      <c r="U150" s="7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</row>
    <row r="151" spans="1:148" ht="102">
      <c r="A151" s="11" t="s">
        <v>29</v>
      </c>
      <c r="B151" s="12" t="s">
        <v>105</v>
      </c>
      <c r="C151" s="13" t="s">
        <v>31</v>
      </c>
      <c r="D151" s="23">
        <f>300000000</f>
        <v>300000000</v>
      </c>
      <c r="E151" s="13" t="s">
        <v>32</v>
      </c>
      <c r="F151" s="13" t="s">
        <v>106</v>
      </c>
      <c r="G151" s="13" t="s">
        <v>34</v>
      </c>
      <c r="H151" s="13"/>
      <c r="I151" s="13" t="s">
        <v>107</v>
      </c>
      <c r="J151" s="13" t="s">
        <v>108</v>
      </c>
      <c r="K151" s="12" t="s">
        <v>109</v>
      </c>
      <c r="L151" s="13"/>
      <c r="M151" s="23">
        <f>0</f>
        <v>0</v>
      </c>
      <c r="N151" s="13"/>
      <c r="O151" s="23">
        <f>0</f>
        <v>0</v>
      </c>
      <c r="P151" s="23">
        <f>224943300</f>
        <v>224943300</v>
      </c>
      <c r="Q151" s="26" t="s">
        <v>38</v>
      </c>
      <c r="R151" s="26" t="s">
        <v>47</v>
      </c>
      <c r="S151" s="27">
        <f>768493.15</f>
        <v>768493.15</v>
      </c>
      <c r="T151" s="13"/>
      <c r="U151" s="7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</row>
    <row r="152" spans="1:148" ht="15">
      <c r="A152" s="14" t="s">
        <v>30</v>
      </c>
      <c r="B152" s="15"/>
      <c r="C152" s="15"/>
      <c r="D152" s="24">
        <f>0</f>
        <v>0</v>
      </c>
      <c r="E152" s="15"/>
      <c r="F152" s="15"/>
      <c r="G152" s="15"/>
      <c r="H152" s="15"/>
      <c r="I152" s="15"/>
      <c r="J152" s="15"/>
      <c r="K152" s="15"/>
      <c r="L152" s="15"/>
      <c r="M152" s="24">
        <f>0</f>
        <v>0</v>
      </c>
      <c r="N152" s="15"/>
      <c r="O152" s="24">
        <f>0</f>
        <v>0</v>
      </c>
      <c r="P152" s="24">
        <f>0</f>
        <v>0</v>
      </c>
      <c r="Q152" s="28" t="s">
        <v>38</v>
      </c>
      <c r="R152" s="28" t="s">
        <v>48</v>
      </c>
      <c r="S152" s="29">
        <f>2160599.59</f>
        <v>2160599.59</v>
      </c>
      <c r="T152" s="15"/>
      <c r="U152" s="7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</row>
    <row r="153" spans="1:148" ht="15">
      <c r="A153" s="14" t="s">
        <v>30</v>
      </c>
      <c r="B153" s="15"/>
      <c r="C153" s="15"/>
      <c r="D153" s="24">
        <f>0</f>
        <v>0</v>
      </c>
      <c r="E153" s="15"/>
      <c r="F153" s="15"/>
      <c r="G153" s="15"/>
      <c r="H153" s="15"/>
      <c r="I153" s="15"/>
      <c r="J153" s="15"/>
      <c r="K153" s="15"/>
      <c r="L153" s="15"/>
      <c r="M153" s="24">
        <f>0</f>
        <v>0</v>
      </c>
      <c r="N153" s="15"/>
      <c r="O153" s="24">
        <f>0</f>
        <v>0</v>
      </c>
      <c r="P153" s="24">
        <f>0</f>
        <v>0</v>
      </c>
      <c r="Q153" s="28" t="s">
        <v>38</v>
      </c>
      <c r="R153" s="28" t="s">
        <v>49</v>
      </c>
      <c r="S153" s="29">
        <f>2159836.07</f>
        <v>2159836.07</v>
      </c>
      <c r="T153" s="15"/>
      <c r="U153" s="7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</row>
    <row r="154" spans="1:148" ht="15">
      <c r="A154" s="14" t="s">
        <v>30</v>
      </c>
      <c r="B154" s="15"/>
      <c r="C154" s="15"/>
      <c r="D154" s="24">
        <f>0</f>
        <v>0</v>
      </c>
      <c r="E154" s="15"/>
      <c r="F154" s="15"/>
      <c r="G154" s="15"/>
      <c r="H154" s="15"/>
      <c r="I154" s="15"/>
      <c r="J154" s="15"/>
      <c r="K154" s="15"/>
      <c r="L154" s="15"/>
      <c r="M154" s="24">
        <f>0</f>
        <v>0</v>
      </c>
      <c r="N154" s="15"/>
      <c r="O154" s="24">
        <f>0</f>
        <v>0</v>
      </c>
      <c r="P154" s="24">
        <f>0</f>
        <v>0</v>
      </c>
      <c r="Q154" s="28" t="s">
        <v>38</v>
      </c>
      <c r="R154" s="28" t="s">
        <v>62</v>
      </c>
      <c r="S154" s="29">
        <f>2020491.8</f>
        <v>2020491.8</v>
      </c>
      <c r="T154" s="15"/>
      <c r="U154" s="7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</row>
    <row r="155" spans="1:148" ht="15">
      <c r="A155" s="14" t="s">
        <v>30</v>
      </c>
      <c r="B155" s="15"/>
      <c r="C155" s="15"/>
      <c r="D155" s="24">
        <f>0</f>
        <v>0</v>
      </c>
      <c r="E155" s="15"/>
      <c r="F155" s="15"/>
      <c r="G155" s="15"/>
      <c r="H155" s="15"/>
      <c r="I155" s="15"/>
      <c r="J155" s="15"/>
      <c r="K155" s="15"/>
      <c r="L155" s="15"/>
      <c r="M155" s="24">
        <f>0</f>
        <v>0</v>
      </c>
      <c r="N155" s="15"/>
      <c r="O155" s="24">
        <f>0</f>
        <v>0</v>
      </c>
      <c r="P155" s="24">
        <f>0</f>
        <v>0</v>
      </c>
      <c r="Q155" s="28" t="s">
        <v>38</v>
      </c>
      <c r="R155" s="28" t="s">
        <v>63</v>
      </c>
      <c r="S155" s="29">
        <f>2159836.07</f>
        <v>2159836.07</v>
      </c>
      <c r="T155" s="15"/>
      <c r="U155" s="7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</row>
    <row r="156" spans="1:148" ht="15">
      <c r="A156" s="14" t="s">
        <v>30</v>
      </c>
      <c r="B156" s="15"/>
      <c r="C156" s="15"/>
      <c r="D156" s="24">
        <f>0</f>
        <v>0</v>
      </c>
      <c r="E156" s="15"/>
      <c r="F156" s="15"/>
      <c r="G156" s="15"/>
      <c r="H156" s="15"/>
      <c r="I156" s="15"/>
      <c r="J156" s="15"/>
      <c r="K156" s="15"/>
      <c r="L156" s="15"/>
      <c r="M156" s="24">
        <f>0</f>
        <v>0</v>
      </c>
      <c r="N156" s="15"/>
      <c r="O156" s="24">
        <f>0</f>
        <v>0</v>
      </c>
      <c r="P156" s="24">
        <f>0</f>
        <v>0</v>
      </c>
      <c r="Q156" s="28" t="s">
        <v>38</v>
      </c>
      <c r="R156" s="28" t="s">
        <v>110</v>
      </c>
      <c r="S156" s="29">
        <f>1985576.73</f>
        <v>1985576.73</v>
      </c>
      <c r="T156" s="15"/>
      <c r="U156" s="7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</row>
    <row r="157" spans="1:148" ht="15">
      <c r="A157" s="14" t="s">
        <v>30</v>
      </c>
      <c r="B157" s="15"/>
      <c r="C157" s="15"/>
      <c r="D157" s="24">
        <f>0</f>
        <v>0</v>
      </c>
      <c r="E157" s="15"/>
      <c r="F157" s="15"/>
      <c r="G157" s="15"/>
      <c r="H157" s="15"/>
      <c r="I157" s="15"/>
      <c r="J157" s="15"/>
      <c r="K157" s="15"/>
      <c r="L157" s="15"/>
      <c r="M157" s="24">
        <f>0</f>
        <v>0</v>
      </c>
      <c r="N157" s="15"/>
      <c r="O157" s="24">
        <f>0</f>
        <v>0</v>
      </c>
      <c r="P157" s="24">
        <f>0</f>
        <v>0</v>
      </c>
      <c r="Q157" s="28" t="s">
        <v>38</v>
      </c>
      <c r="R157" s="28" t="s">
        <v>71</v>
      </c>
      <c r="S157" s="29">
        <f>1619468.84</f>
        <v>1619468.84</v>
      </c>
      <c r="T157" s="15"/>
      <c r="U157" s="7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</row>
    <row r="158" spans="1:148" ht="15">
      <c r="A158" s="14" t="s">
        <v>30</v>
      </c>
      <c r="B158" s="15"/>
      <c r="C158" s="15"/>
      <c r="D158" s="24">
        <f>0</f>
        <v>0</v>
      </c>
      <c r="E158" s="15"/>
      <c r="F158" s="15"/>
      <c r="G158" s="15"/>
      <c r="H158" s="15"/>
      <c r="I158" s="15"/>
      <c r="J158" s="15"/>
      <c r="K158" s="15"/>
      <c r="L158" s="15"/>
      <c r="M158" s="24">
        <f>0</f>
        <v>0</v>
      </c>
      <c r="N158" s="15"/>
      <c r="O158" s="24">
        <f>0</f>
        <v>0</v>
      </c>
      <c r="P158" s="24">
        <f>0</f>
        <v>0</v>
      </c>
      <c r="Q158" s="28" t="s">
        <v>38</v>
      </c>
      <c r="R158" s="28" t="s">
        <v>72</v>
      </c>
      <c r="S158" s="29">
        <f>1567227.91</f>
        <v>1567227.91</v>
      </c>
      <c r="T158" s="15"/>
      <c r="U158" s="7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</row>
    <row r="159" spans="1:148" ht="15">
      <c r="A159" s="14" t="s">
        <v>30</v>
      </c>
      <c r="B159" s="15"/>
      <c r="C159" s="15"/>
      <c r="D159" s="24">
        <f>0</f>
        <v>0</v>
      </c>
      <c r="E159" s="15"/>
      <c r="F159" s="15"/>
      <c r="G159" s="15"/>
      <c r="H159" s="15"/>
      <c r="I159" s="15"/>
      <c r="J159" s="15"/>
      <c r="K159" s="15"/>
      <c r="L159" s="15"/>
      <c r="M159" s="24">
        <f>0</f>
        <v>0</v>
      </c>
      <c r="N159" s="15"/>
      <c r="O159" s="24">
        <f>0</f>
        <v>0</v>
      </c>
      <c r="P159" s="24">
        <f>0</f>
        <v>0</v>
      </c>
      <c r="Q159" s="28" t="s">
        <v>38</v>
      </c>
      <c r="R159" s="28" t="s">
        <v>73</v>
      </c>
      <c r="S159" s="29">
        <f>1619468.84</f>
        <v>1619468.84</v>
      </c>
      <c r="T159" s="15"/>
      <c r="U159" s="7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</row>
    <row r="160" spans="1:148" ht="15">
      <c r="A160" s="14" t="s">
        <v>30</v>
      </c>
      <c r="B160" s="15"/>
      <c r="C160" s="15"/>
      <c r="D160" s="24">
        <f>0</f>
        <v>0</v>
      </c>
      <c r="E160" s="15"/>
      <c r="F160" s="15"/>
      <c r="G160" s="15"/>
      <c r="H160" s="15"/>
      <c r="I160" s="15"/>
      <c r="J160" s="15"/>
      <c r="K160" s="15"/>
      <c r="L160" s="15"/>
      <c r="M160" s="24">
        <f>0</f>
        <v>0</v>
      </c>
      <c r="N160" s="15"/>
      <c r="O160" s="24">
        <f>0</f>
        <v>0</v>
      </c>
      <c r="P160" s="24">
        <f>0</f>
        <v>0</v>
      </c>
      <c r="Q160" s="28" t="s">
        <v>38</v>
      </c>
      <c r="R160" s="28" t="s">
        <v>79</v>
      </c>
      <c r="S160" s="29">
        <f>1619468.84</f>
        <v>1619468.84</v>
      </c>
      <c r="T160" s="15"/>
      <c r="U160" s="7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</row>
    <row r="161" spans="1:148" ht="15">
      <c r="A161" s="14" t="s">
        <v>30</v>
      </c>
      <c r="B161" s="15"/>
      <c r="C161" s="15"/>
      <c r="D161" s="24">
        <f>0</f>
        <v>0</v>
      </c>
      <c r="E161" s="15"/>
      <c r="F161" s="15"/>
      <c r="G161" s="15"/>
      <c r="H161" s="15"/>
      <c r="I161" s="15"/>
      <c r="J161" s="15"/>
      <c r="K161" s="15"/>
      <c r="L161" s="15"/>
      <c r="M161" s="24">
        <f>0</f>
        <v>0</v>
      </c>
      <c r="N161" s="15"/>
      <c r="O161" s="24">
        <f>0</f>
        <v>0</v>
      </c>
      <c r="P161" s="24">
        <f>0</f>
        <v>0</v>
      </c>
      <c r="Q161" s="28" t="s">
        <v>38</v>
      </c>
      <c r="R161" s="28" t="s">
        <v>94</v>
      </c>
      <c r="S161" s="29">
        <f>1567227.91</f>
        <v>1567227.91</v>
      </c>
      <c r="T161" s="15"/>
      <c r="U161" s="7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</row>
    <row r="162" spans="1:148" ht="15">
      <c r="A162" s="14" t="s">
        <v>30</v>
      </c>
      <c r="B162" s="15"/>
      <c r="C162" s="15"/>
      <c r="D162" s="24">
        <f>0</f>
        <v>0</v>
      </c>
      <c r="E162" s="15"/>
      <c r="F162" s="15"/>
      <c r="G162" s="15"/>
      <c r="H162" s="15"/>
      <c r="I162" s="15"/>
      <c r="J162" s="15"/>
      <c r="K162" s="15"/>
      <c r="L162" s="15"/>
      <c r="M162" s="24">
        <f>0</f>
        <v>0</v>
      </c>
      <c r="N162" s="15"/>
      <c r="O162" s="24">
        <f>0</f>
        <v>0</v>
      </c>
      <c r="P162" s="24">
        <f>0</f>
        <v>0</v>
      </c>
      <c r="Q162" s="28" t="s">
        <v>38</v>
      </c>
      <c r="R162" s="28" t="s">
        <v>111</v>
      </c>
      <c r="S162" s="29">
        <f>1619468.84</f>
        <v>1619468.84</v>
      </c>
      <c r="T162" s="15"/>
      <c r="U162" s="7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</row>
    <row r="163" spans="1:148" ht="15">
      <c r="A163" s="14" t="s">
        <v>30</v>
      </c>
      <c r="B163" s="15"/>
      <c r="C163" s="15"/>
      <c r="D163" s="24">
        <f>0</f>
        <v>0</v>
      </c>
      <c r="E163" s="15"/>
      <c r="F163" s="15"/>
      <c r="G163" s="15"/>
      <c r="H163" s="15"/>
      <c r="I163" s="15"/>
      <c r="J163" s="15"/>
      <c r="K163" s="15"/>
      <c r="L163" s="15"/>
      <c r="M163" s="24">
        <f>0</f>
        <v>0</v>
      </c>
      <c r="N163" s="15"/>
      <c r="O163" s="24">
        <f>0</f>
        <v>0</v>
      </c>
      <c r="P163" s="24">
        <f>0</f>
        <v>0</v>
      </c>
      <c r="Q163" s="28" t="s">
        <v>38</v>
      </c>
      <c r="R163" s="28" t="s">
        <v>112</v>
      </c>
      <c r="S163" s="29">
        <f>1567227.91</f>
        <v>1567227.91</v>
      </c>
      <c r="T163" s="15"/>
      <c r="U163" s="7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</row>
    <row r="164" spans="1:148" ht="102">
      <c r="A164" s="11" t="s">
        <v>29</v>
      </c>
      <c r="B164" s="12" t="s">
        <v>113</v>
      </c>
      <c r="C164" s="13" t="s">
        <v>31</v>
      </c>
      <c r="D164" s="23">
        <f>350000000</f>
        <v>350000000</v>
      </c>
      <c r="E164" s="13" t="s">
        <v>32</v>
      </c>
      <c r="F164" s="13" t="s">
        <v>114</v>
      </c>
      <c r="G164" s="13" t="s">
        <v>34</v>
      </c>
      <c r="H164" s="13"/>
      <c r="I164" s="13" t="s">
        <v>107</v>
      </c>
      <c r="J164" s="13" t="s">
        <v>108</v>
      </c>
      <c r="K164" s="12" t="s">
        <v>109</v>
      </c>
      <c r="L164" s="13"/>
      <c r="M164" s="23">
        <f>0</f>
        <v>0</v>
      </c>
      <c r="N164" s="13"/>
      <c r="O164" s="23">
        <f>0</f>
        <v>0</v>
      </c>
      <c r="P164" s="23">
        <f>350000000</f>
        <v>350000000</v>
      </c>
      <c r="Q164" s="26" t="s">
        <v>38</v>
      </c>
      <c r="R164" s="26" t="s">
        <v>55</v>
      </c>
      <c r="S164" s="27">
        <f>2519808.74</f>
        <v>2519808.74</v>
      </c>
      <c r="T164" s="13"/>
      <c r="U164" s="7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</row>
    <row r="165" spans="1:148" ht="15">
      <c r="A165" s="14" t="s">
        <v>30</v>
      </c>
      <c r="B165" s="15"/>
      <c r="C165" s="15"/>
      <c r="D165" s="24">
        <f>0</f>
        <v>0</v>
      </c>
      <c r="E165" s="15"/>
      <c r="F165" s="15"/>
      <c r="G165" s="15"/>
      <c r="H165" s="15"/>
      <c r="I165" s="15"/>
      <c r="J165" s="15"/>
      <c r="K165" s="15"/>
      <c r="L165" s="15"/>
      <c r="M165" s="24">
        <f>0</f>
        <v>0</v>
      </c>
      <c r="N165" s="15"/>
      <c r="O165" s="24">
        <f>0</f>
        <v>0</v>
      </c>
      <c r="P165" s="24">
        <f>0</f>
        <v>0</v>
      </c>
      <c r="Q165" s="28" t="s">
        <v>38</v>
      </c>
      <c r="R165" s="28" t="s">
        <v>47</v>
      </c>
      <c r="S165" s="29">
        <f>3417274.87</f>
        <v>3417274.87</v>
      </c>
      <c r="T165" s="15"/>
      <c r="U165" s="7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</row>
    <row r="166" spans="1:148" ht="15">
      <c r="A166" s="14" t="s">
        <v>30</v>
      </c>
      <c r="B166" s="15"/>
      <c r="C166" s="15"/>
      <c r="D166" s="24">
        <f>0</f>
        <v>0</v>
      </c>
      <c r="E166" s="15"/>
      <c r="F166" s="15"/>
      <c r="G166" s="15"/>
      <c r="H166" s="15"/>
      <c r="I166" s="15"/>
      <c r="J166" s="15"/>
      <c r="K166" s="15"/>
      <c r="L166" s="15"/>
      <c r="M166" s="24">
        <f>0</f>
        <v>0</v>
      </c>
      <c r="N166" s="15"/>
      <c r="O166" s="24">
        <f>0</f>
        <v>0</v>
      </c>
      <c r="P166" s="24">
        <f>0</f>
        <v>0</v>
      </c>
      <c r="Q166" s="28" t="s">
        <v>38</v>
      </c>
      <c r="R166" s="28" t="s">
        <v>62</v>
      </c>
      <c r="S166" s="29">
        <f>2357240.44</f>
        <v>2357240.44</v>
      </c>
      <c r="T166" s="15"/>
      <c r="U166" s="7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</row>
    <row r="167" spans="1:148" ht="15">
      <c r="A167" s="14" t="s">
        <v>30</v>
      </c>
      <c r="B167" s="15"/>
      <c r="C167" s="15"/>
      <c r="D167" s="24">
        <f>0</f>
        <v>0</v>
      </c>
      <c r="E167" s="15"/>
      <c r="F167" s="15"/>
      <c r="G167" s="15"/>
      <c r="H167" s="15"/>
      <c r="I167" s="15"/>
      <c r="J167" s="15"/>
      <c r="K167" s="15"/>
      <c r="L167" s="15"/>
      <c r="M167" s="24">
        <f>0</f>
        <v>0</v>
      </c>
      <c r="N167" s="15"/>
      <c r="O167" s="24">
        <f>0</f>
        <v>0</v>
      </c>
      <c r="P167" s="24">
        <f>0</f>
        <v>0</v>
      </c>
      <c r="Q167" s="28" t="s">
        <v>38</v>
      </c>
      <c r="R167" s="28" t="s">
        <v>63</v>
      </c>
      <c r="S167" s="29">
        <f>2519808.74</f>
        <v>2519808.74</v>
      </c>
      <c r="T167" s="15"/>
      <c r="U167" s="7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</row>
    <row r="168" spans="1:148" ht="15">
      <c r="A168" s="14" t="s">
        <v>30</v>
      </c>
      <c r="B168" s="15"/>
      <c r="C168" s="15"/>
      <c r="D168" s="24">
        <f>0</f>
        <v>0</v>
      </c>
      <c r="E168" s="15"/>
      <c r="F168" s="15"/>
      <c r="G168" s="15"/>
      <c r="H168" s="15"/>
      <c r="I168" s="15"/>
      <c r="J168" s="15"/>
      <c r="K168" s="15"/>
      <c r="L168" s="15"/>
      <c r="M168" s="24">
        <f>0</f>
        <v>0</v>
      </c>
      <c r="N168" s="15"/>
      <c r="O168" s="24">
        <f>0</f>
        <v>0</v>
      </c>
      <c r="P168" s="24">
        <f>0</f>
        <v>0</v>
      </c>
      <c r="Q168" s="28" t="s">
        <v>38</v>
      </c>
      <c r="R168" s="28" t="s">
        <v>70</v>
      </c>
      <c r="S168" s="29">
        <f>2438524.59</f>
        <v>2438524.59</v>
      </c>
      <c r="T168" s="15"/>
      <c r="U168" s="7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</row>
    <row r="169" spans="1:148" ht="15">
      <c r="A169" s="14" t="s">
        <v>30</v>
      </c>
      <c r="B169" s="15"/>
      <c r="C169" s="15"/>
      <c r="D169" s="24">
        <f>0</f>
        <v>0</v>
      </c>
      <c r="E169" s="15"/>
      <c r="F169" s="15"/>
      <c r="G169" s="15"/>
      <c r="H169" s="15"/>
      <c r="I169" s="15"/>
      <c r="J169" s="15"/>
      <c r="K169" s="15"/>
      <c r="L169" s="15"/>
      <c r="M169" s="24">
        <f>0</f>
        <v>0</v>
      </c>
      <c r="N169" s="15"/>
      <c r="O169" s="24">
        <f>0</f>
        <v>0</v>
      </c>
      <c r="P169" s="24">
        <f>0</f>
        <v>0</v>
      </c>
      <c r="Q169" s="28" t="s">
        <v>38</v>
      </c>
      <c r="R169" s="28" t="s">
        <v>71</v>
      </c>
      <c r="S169" s="29">
        <f>2519808.74</f>
        <v>2519808.74</v>
      </c>
      <c r="T169" s="15"/>
      <c r="U169" s="7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</row>
    <row r="170" spans="1:148" ht="15">
      <c r="A170" s="14" t="s">
        <v>30</v>
      </c>
      <c r="B170" s="15"/>
      <c r="C170" s="15"/>
      <c r="D170" s="24">
        <f>0</f>
        <v>0</v>
      </c>
      <c r="E170" s="15"/>
      <c r="F170" s="15"/>
      <c r="G170" s="15"/>
      <c r="H170" s="15"/>
      <c r="I170" s="15"/>
      <c r="J170" s="15"/>
      <c r="K170" s="15"/>
      <c r="L170" s="15"/>
      <c r="M170" s="24">
        <f>0</f>
        <v>0</v>
      </c>
      <c r="N170" s="15"/>
      <c r="O170" s="24">
        <f>0</f>
        <v>0</v>
      </c>
      <c r="P170" s="24">
        <f>0</f>
        <v>0</v>
      </c>
      <c r="Q170" s="28" t="s">
        <v>38</v>
      </c>
      <c r="R170" s="28" t="s">
        <v>72</v>
      </c>
      <c r="S170" s="29">
        <f>2438524.59</f>
        <v>2438524.59</v>
      </c>
      <c r="T170" s="15"/>
      <c r="U170" s="7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</row>
    <row r="171" spans="1:148" ht="15">
      <c r="A171" s="14" t="s">
        <v>30</v>
      </c>
      <c r="B171" s="15"/>
      <c r="C171" s="15"/>
      <c r="D171" s="24">
        <f>0</f>
        <v>0</v>
      </c>
      <c r="E171" s="15"/>
      <c r="F171" s="15"/>
      <c r="G171" s="15"/>
      <c r="H171" s="15"/>
      <c r="I171" s="15"/>
      <c r="J171" s="15"/>
      <c r="K171" s="15"/>
      <c r="L171" s="15"/>
      <c r="M171" s="24">
        <f>0</f>
        <v>0</v>
      </c>
      <c r="N171" s="15"/>
      <c r="O171" s="24">
        <f>0</f>
        <v>0</v>
      </c>
      <c r="P171" s="24">
        <f>0</f>
        <v>0</v>
      </c>
      <c r="Q171" s="28" t="s">
        <v>38</v>
      </c>
      <c r="R171" s="28" t="s">
        <v>73</v>
      </c>
      <c r="S171" s="29">
        <f>2519808.74</f>
        <v>2519808.74</v>
      </c>
      <c r="T171" s="15"/>
      <c r="U171" s="7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</row>
    <row r="172" spans="1:148" ht="15">
      <c r="A172" s="14" t="s">
        <v>30</v>
      </c>
      <c r="B172" s="15"/>
      <c r="C172" s="15"/>
      <c r="D172" s="24">
        <f>0</f>
        <v>0</v>
      </c>
      <c r="E172" s="15"/>
      <c r="F172" s="15"/>
      <c r="G172" s="15"/>
      <c r="H172" s="15"/>
      <c r="I172" s="15"/>
      <c r="J172" s="15"/>
      <c r="K172" s="15"/>
      <c r="L172" s="15"/>
      <c r="M172" s="24">
        <f>0</f>
        <v>0</v>
      </c>
      <c r="N172" s="15"/>
      <c r="O172" s="24">
        <f>0</f>
        <v>0</v>
      </c>
      <c r="P172" s="24">
        <f>0</f>
        <v>0</v>
      </c>
      <c r="Q172" s="28" t="s">
        <v>38</v>
      </c>
      <c r="R172" s="28" t="s">
        <v>79</v>
      </c>
      <c r="S172" s="29">
        <f>2519808.74</f>
        <v>2519808.74</v>
      </c>
      <c r="T172" s="15"/>
      <c r="U172" s="7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</row>
    <row r="173" spans="1:148" ht="15">
      <c r="A173" s="14" t="s">
        <v>30</v>
      </c>
      <c r="B173" s="15"/>
      <c r="C173" s="15"/>
      <c r="D173" s="24">
        <f>0</f>
        <v>0</v>
      </c>
      <c r="E173" s="15"/>
      <c r="F173" s="15"/>
      <c r="G173" s="15"/>
      <c r="H173" s="15"/>
      <c r="I173" s="15"/>
      <c r="J173" s="15"/>
      <c r="K173" s="15"/>
      <c r="L173" s="15"/>
      <c r="M173" s="24">
        <f>0</f>
        <v>0</v>
      </c>
      <c r="N173" s="15"/>
      <c r="O173" s="24">
        <f>0</f>
        <v>0</v>
      </c>
      <c r="P173" s="24">
        <f>0</f>
        <v>0</v>
      </c>
      <c r="Q173" s="28" t="s">
        <v>38</v>
      </c>
      <c r="R173" s="28" t="s">
        <v>94</v>
      </c>
      <c r="S173" s="29">
        <f>2438524.59</f>
        <v>2438524.59</v>
      </c>
      <c r="T173" s="15"/>
      <c r="U173" s="7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</row>
    <row r="174" spans="1:148" ht="15">
      <c r="A174" s="14" t="s">
        <v>30</v>
      </c>
      <c r="B174" s="15"/>
      <c r="C174" s="15"/>
      <c r="D174" s="24">
        <f>0</f>
        <v>0</v>
      </c>
      <c r="E174" s="15"/>
      <c r="F174" s="15"/>
      <c r="G174" s="15"/>
      <c r="H174" s="15"/>
      <c r="I174" s="15"/>
      <c r="J174" s="15"/>
      <c r="K174" s="15"/>
      <c r="L174" s="15"/>
      <c r="M174" s="24">
        <f>0</f>
        <v>0</v>
      </c>
      <c r="N174" s="15"/>
      <c r="O174" s="24">
        <f>0</f>
        <v>0</v>
      </c>
      <c r="P174" s="24">
        <f>0</f>
        <v>0</v>
      </c>
      <c r="Q174" s="28" t="s">
        <v>38</v>
      </c>
      <c r="R174" s="28" t="s">
        <v>111</v>
      </c>
      <c r="S174" s="29">
        <f>2519808.74</f>
        <v>2519808.74</v>
      </c>
      <c r="T174" s="15"/>
      <c r="U174" s="7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</row>
    <row r="175" spans="1:148" ht="15">
      <c r="A175" s="14" t="s">
        <v>30</v>
      </c>
      <c r="B175" s="15"/>
      <c r="C175" s="15"/>
      <c r="D175" s="24">
        <f>0</f>
        <v>0</v>
      </c>
      <c r="E175" s="15"/>
      <c r="F175" s="15"/>
      <c r="G175" s="15"/>
      <c r="H175" s="15"/>
      <c r="I175" s="15"/>
      <c r="J175" s="15"/>
      <c r="K175" s="15"/>
      <c r="L175" s="15"/>
      <c r="M175" s="24">
        <f>0</f>
        <v>0</v>
      </c>
      <c r="N175" s="15"/>
      <c r="O175" s="24">
        <f>0</f>
        <v>0</v>
      </c>
      <c r="P175" s="24">
        <f>0</f>
        <v>0</v>
      </c>
      <c r="Q175" s="28" t="s">
        <v>38</v>
      </c>
      <c r="R175" s="28" t="s">
        <v>112</v>
      </c>
      <c r="S175" s="29">
        <f>2438524.59</f>
        <v>2438524.59</v>
      </c>
      <c r="T175" s="15"/>
      <c r="U175" s="7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</row>
    <row r="176" spans="1:148" ht="102">
      <c r="A176" s="11" t="s">
        <v>29</v>
      </c>
      <c r="B176" s="12" t="s">
        <v>115</v>
      </c>
      <c r="C176" s="13" t="s">
        <v>31</v>
      </c>
      <c r="D176" s="23">
        <f>350000000</f>
        <v>350000000</v>
      </c>
      <c r="E176" s="13" t="s">
        <v>32</v>
      </c>
      <c r="F176" s="13" t="s">
        <v>116</v>
      </c>
      <c r="G176" s="13" t="s">
        <v>34</v>
      </c>
      <c r="H176" s="13"/>
      <c r="I176" s="13" t="s">
        <v>107</v>
      </c>
      <c r="J176" s="13" t="s">
        <v>108</v>
      </c>
      <c r="K176" s="12" t="s">
        <v>109</v>
      </c>
      <c r="L176" s="13"/>
      <c r="M176" s="23">
        <f>0</f>
        <v>0</v>
      </c>
      <c r="N176" s="13"/>
      <c r="O176" s="23">
        <f>0</f>
        <v>0</v>
      </c>
      <c r="P176" s="23">
        <f>350000000</f>
        <v>350000000</v>
      </c>
      <c r="Q176" s="26" t="s">
        <v>38</v>
      </c>
      <c r="R176" s="26" t="s">
        <v>47</v>
      </c>
      <c r="S176" s="27">
        <f>896575.34</f>
        <v>896575.34</v>
      </c>
      <c r="T176" s="13"/>
      <c r="U176" s="7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</row>
    <row r="177" spans="1:148" ht="15">
      <c r="A177" s="14" t="s">
        <v>30</v>
      </c>
      <c r="B177" s="15"/>
      <c r="C177" s="15"/>
      <c r="D177" s="24">
        <f>0</f>
        <v>0</v>
      </c>
      <c r="E177" s="15"/>
      <c r="F177" s="15"/>
      <c r="G177" s="15"/>
      <c r="H177" s="15"/>
      <c r="I177" s="15"/>
      <c r="J177" s="15"/>
      <c r="K177" s="15"/>
      <c r="L177" s="15"/>
      <c r="M177" s="24">
        <f>0</f>
        <v>0</v>
      </c>
      <c r="N177" s="15"/>
      <c r="O177" s="24">
        <f>0</f>
        <v>0</v>
      </c>
      <c r="P177" s="24">
        <f>0</f>
        <v>0</v>
      </c>
      <c r="Q177" s="28" t="s">
        <v>38</v>
      </c>
      <c r="R177" s="28" t="s">
        <v>48</v>
      </c>
      <c r="S177" s="29">
        <f>2520699.53</f>
        <v>2520699.53</v>
      </c>
      <c r="T177" s="15"/>
      <c r="U177" s="7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</row>
    <row r="178" spans="1:148" ht="15">
      <c r="A178" s="14" t="s">
        <v>30</v>
      </c>
      <c r="B178" s="15"/>
      <c r="C178" s="15"/>
      <c r="D178" s="24">
        <f>0</f>
        <v>0</v>
      </c>
      <c r="E178" s="15"/>
      <c r="F178" s="15"/>
      <c r="G178" s="15"/>
      <c r="H178" s="15"/>
      <c r="I178" s="15"/>
      <c r="J178" s="15"/>
      <c r="K178" s="15"/>
      <c r="L178" s="15"/>
      <c r="M178" s="24">
        <f>0</f>
        <v>0</v>
      </c>
      <c r="N178" s="15"/>
      <c r="O178" s="24">
        <f>0</f>
        <v>0</v>
      </c>
      <c r="P178" s="24">
        <f>0</f>
        <v>0</v>
      </c>
      <c r="Q178" s="28" t="s">
        <v>38</v>
      </c>
      <c r="R178" s="28" t="s">
        <v>49</v>
      </c>
      <c r="S178" s="29">
        <f>2519808.74</f>
        <v>2519808.74</v>
      </c>
      <c r="T178" s="15"/>
      <c r="U178" s="7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</row>
    <row r="179" spans="1:148" ht="15">
      <c r="A179" s="14" t="s">
        <v>30</v>
      </c>
      <c r="B179" s="15"/>
      <c r="C179" s="15"/>
      <c r="D179" s="24">
        <f>0</f>
        <v>0</v>
      </c>
      <c r="E179" s="15"/>
      <c r="F179" s="15"/>
      <c r="G179" s="15"/>
      <c r="H179" s="15"/>
      <c r="I179" s="15"/>
      <c r="J179" s="15"/>
      <c r="K179" s="15"/>
      <c r="L179" s="15"/>
      <c r="M179" s="24">
        <f>0</f>
        <v>0</v>
      </c>
      <c r="N179" s="15"/>
      <c r="O179" s="24">
        <f>0</f>
        <v>0</v>
      </c>
      <c r="P179" s="24">
        <f>0</f>
        <v>0</v>
      </c>
      <c r="Q179" s="28" t="s">
        <v>38</v>
      </c>
      <c r="R179" s="28" t="s">
        <v>62</v>
      </c>
      <c r="S179" s="29">
        <f>2357240.44</f>
        <v>2357240.44</v>
      </c>
      <c r="T179" s="15"/>
      <c r="U179" s="7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</row>
    <row r="180" spans="1:148" ht="15">
      <c r="A180" s="14" t="s">
        <v>30</v>
      </c>
      <c r="B180" s="15"/>
      <c r="C180" s="15"/>
      <c r="D180" s="24">
        <f>0</f>
        <v>0</v>
      </c>
      <c r="E180" s="15"/>
      <c r="F180" s="15"/>
      <c r="G180" s="15"/>
      <c r="H180" s="15"/>
      <c r="I180" s="15"/>
      <c r="J180" s="15"/>
      <c r="K180" s="15"/>
      <c r="L180" s="15"/>
      <c r="M180" s="24">
        <f>0</f>
        <v>0</v>
      </c>
      <c r="N180" s="15"/>
      <c r="O180" s="24">
        <f>0</f>
        <v>0</v>
      </c>
      <c r="P180" s="24">
        <f>0</f>
        <v>0</v>
      </c>
      <c r="Q180" s="28" t="s">
        <v>38</v>
      </c>
      <c r="R180" s="28" t="s">
        <v>63</v>
      </c>
      <c r="S180" s="29">
        <f>2519808.74</f>
        <v>2519808.74</v>
      </c>
      <c r="T180" s="15"/>
      <c r="U180" s="7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</row>
    <row r="181" spans="1:148" ht="15">
      <c r="A181" s="14" t="s">
        <v>30</v>
      </c>
      <c r="B181" s="15"/>
      <c r="C181" s="15"/>
      <c r="D181" s="24">
        <f>0</f>
        <v>0</v>
      </c>
      <c r="E181" s="15"/>
      <c r="F181" s="15"/>
      <c r="G181" s="15"/>
      <c r="H181" s="15"/>
      <c r="I181" s="15"/>
      <c r="J181" s="15"/>
      <c r="K181" s="15"/>
      <c r="L181" s="15"/>
      <c r="M181" s="24">
        <f>0</f>
        <v>0</v>
      </c>
      <c r="N181" s="15"/>
      <c r="O181" s="24">
        <f>0</f>
        <v>0</v>
      </c>
      <c r="P181" s="24">
        <f>0</f>
        <v>0</v>
      </c>
      <c r="Q181" s="28" t="s">
        <v>38</v>
      </c>
      <c r="R181" s="28" t="s">
        <v>70</v>
      </c>
      <c r="S181" s="29">
        <f>2438524.59</f>
        <v>2438524.59</v>
      </c>
      <c r="T181" s="15"/>
      <c r="U181" s="7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</row>
    <row r="182" spans="1:148" ht="15">
      <c r="A182" s="14" t="s">
        <v>30</v>
      </c>
      <c r="B182" s="15"/>
      <c r="C182" s="15"/>
      <c r="D182" s="24">
        <f>0</f>
        <v>0</v>
      </c>
      <c r="E182" s="15"/>
      <c r="F182" s="15"/>
      <c r="G182" s="15"/>
      <c r="H182" s="15"/>
      <c r="I182" s="15"/>
      <c r="J182" s="15"/>
      <c r="K182" s="15"/>
      <c r="L182" s="15"/>
      <c r="M182" s="24">
        <f>0</f>
        <v>0</v>
      </c>
      <c r="N182" s="15"/>
      <c r="O182" s="24">
        <f>0</f>
        <v>0</v>
      </c>
      <c r="P182" s="24">
        <f>0</f>
        <v>0</v>
      </c>
      <c r="Q182" s="28" t="s">
        <v>38</v>
      </c>
      <c r="R182" s="28" t="s">
        <v>71</v>
      </c>
      <c r="S182" s="29">
        <f>2519808.74</f>
        <v>2519808.74</v>
      </c>
      <c r="T182" s="15"/>
      <c r="U182" s="7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</row>
    <row r="183" spans="1:148" ht="15">
      <c r="A183" s="14" t="s">
        <v>30</v>
      </c>
      <c r="B183" s="15"/>
      <c r="C183" s="15"/>
      <c r="D183" s="24">
        <f>0</f>
        <v>0</v>
      </c>
      <c r="E183" s="15"/>
      <c r="F183" s="15"/>
      <c r="G183" s="15"/>
      <c r="H183" s="15"/>
      <c r="I183" s="15"/>
      <c r="J183" s="15"/>
      <c r="K183" s="15"/>
      <c r="L183" s="15"/>
      <c r="M183" s="24">
        <f>0</f>
        <v>0</v>
      </c>
      <c r="N183" s="15"/>
      <c r="O183" s="24">
        <f>0</f>
        <v>0</v>
      </c>
      <c r="P183" s="24">
        <f>0</f>
        <v>0</v>
      </c>
      <c r="Q183" s="28" t="s">
        <v>38</v>
      </c>
      <c r="R183" s="28" t="s">
        <v>72</v>
      </c>
      <c r="S183" s="29">
        <f>2438524.59</f>
        <v>2438524.59</v>
      </c>
      <c r="T183" s="15"/>
      <c r="U183" s="7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</row>
    <row r="184" spans="1:148" ht="15">
      <c r="A184" s="14" t="s">
        <v>30</v>
      </c>
      <c r="B184" s="15"/>
      <c r="C184" s="15"/>
      <c r="D184" s="24">
        <f>0</f>
        <v>0</v>
      </c>
      <c r="E184" s="15"/>
      <c r="F184" s="15"/>
      <c r="G184" s="15"/>
      <c r="H184" s="15"/>
      <c r="I184" s="15"/>
      <c r="J184" s="15"/>
      <c r="K184" s="15"/>
      <c r="L184" s="15"/>
      <c r="M184" s="24">
        <f>0</f>
        <v>0</v>
      </c>
      <c r="N184" s="15"/>
      <c r="O184" s="24">
        <f>0</f>
        <v>0</v>
      </c>
      <c r="P184" s="24">
        <f>0</f>
        <v>0</v>
      </c>
      <c r="Q184" s="28" t="s">
        <v>38</v>
      </c>
      <c r="R184" s="28" t="s">
        <v>73</v>
      </c>
      <c r="S184" s="29">
        <f>2519808.74</f>
        <v>2519808.74</v>
      </c>
      <c r="T184" s="15"/>
      <c r="U184" s="7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</row>
    <row r="185" spans="1:148" ht="15">
      <c r="A185" s="14" t="s">
        <v>30</v>
      </c>
      <c r="B185" s="15"/>
      <c r="C185" s="15"/>
      <c r="D185" s="24">
        <f>0</f>
        <v>0</v>
      </c>
      <c r="E185" s="15"/>
      <c r="F185" s="15"/>
      <c r="G185" s="15"/>
      <c r="H185" s="15"/>
      <c r="I185" s="15"/>
      <c r="J185" s="15"/>
      <c r="K185" s="15"/>
      <c r="L185" s="15"/>
      <c r="M185" s="24">
        <f>0</f>
        <v>0</v>
      </c>
      <c r="N185" s="15"/>
      <c r="O185" s="24">
        <f>0</f>
        <v>0</v>
      </c>
      <c r="P185" s="24">
        <f>0</f>
        <v>0</v>
      </c>
      <c r="Q185" s="28" t="s">
        <v>38</v>
      </c>
      <c r="R185" s="28" t="s">
        <v>79</v>
      </c>
      <c r="S185" s="29">
        <f>2519808.74</f>
        <v>2519808.74</v>
      </c>
      <c r="T185" s="15"/>
      <c r="U185" s="7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</row>
    <row r="186" spans="1:148" ht="15">
      <c r="A186" s="14" t="s">
        <v>30</v>
      </c>
      <c r="B186" s="15"/>
      <c r="C186" s="15"/>
      <c r="D186" s="24">
        <f>0</f>
        <v>0</v>
      </c>
      <c r="E186" s="15"/>
      <c r="F186" s="15"/>
      <c r="G186" s="15"/>
      <c r="H186" s="15"/>
      <c r="I186" s="15"/>
      <c r="J186" s="15"/>
      <c r="K186" s="15"/>
      <c r="L186" s="15"/>
      <c r="M186" s="24">
        <f>0</f>
        <v>0</v>
      </c>
      <c r="N186" s="15"/>
      <c r="O186" s="24">
        <f>0</f>
        <v>0</v>
      </c>
      <c r="P186" s="24">
        <f>0</f>
        <v>0</v>
      </c>
      <c r="Q186" s="28" t="s">
        <v>38</v>
      </c>
      <c r="R186" s="28" t="s">
        <v>94</v>
      </c>
      <c r="S186" s="29">
        <f>2438524.59</f>
        <v>2438524.59</v>
      </c>
      <c r="T186" s="15"/>
      <c r="U186" s="7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</row>
    <row r="187" spans="1:148" ht="15">
      <c r="A187" s="14" t="s">
        <v>30</v>
      </c>
      <c r="B187" s="15"/>
      <c r="C187" s="15"/>
      <c r="D187" s="24">
        <f>0</f>
        <v>0</v>
      </c>
      <c r="E187" s="15"/>
      <c r="F187" s="15"/>
      <c r="G187" s="15"/>
      <c r="H187" s="15"/>
      <c r="I187" s="15"/>
      <c r="J187" s="15"/>
      <c r="K187" s="15"/>
      <c r="L187" s="15"/>
      <c r="M187" s="24">
        <f>0</f>
        <v>0</v>
      </c>
      <c r="N187" s="15"/>
      <c r="O187" s="24">
        <f>0</f>
        <v>0</v>
      </c>
      <c r="P187" s="24">
        <f>0</f>
        <v>0</v>
      </c>
      <c r="Q187" s="28" t="s">
        <v>38</v>
      </c>
      <c r="R187" s="28" t="s">
        <v>111</v>
      </c>
      <c r="S187" s="29">
        <f>2519808.74</f>
        <v>2519808.74</v>
      </c>
      <c r="T187" s="15"/>
      <c r="U187" s="7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</row>
    <row r="188" spans="1:148" ht="15">
      <c r="A188" s="14" t="s">
        <v>30</v>
      </c>
      <c r="B188" s="15"/>
      <c r="C188" s="15"/>
      <c r="D188" s="24">
        <f>0</f>
        <v>0</v>
      </c>
      <c r="E188" s="15"/>
      <c r="F188" s="15"/>
      <c r="G188" s="15"/>
      <c r="H188" s="15"/>
      <c r="I188" s="15"/>
      <c r="J188" s="15"/>
      <c r="K188" s="15"/>
      <c r="L188" s="15"/>
      <c r="M188" s="24">
        <f>0</f>
        <v>0</v>
      </c>
      <c r="N188" s="15"/>
      <c r="O188" s="24">
        <f>0</f>
        <v>0</v>
      </c>
      <c r="P188" s="24">
        <f>0</f>
        <v>0</v>
      </c>
      <c r="Q188" s="28" t="s">
        <v>38</v>
      </c>
      <c r="R188" s="28" t="s">
        <v>112</v>
      </c>
      <c r="S188" s="29">
        <f>2438524.59</f>
        <v>2438524.59</v>
      </c>
      <c r="T188" s="15"/>
      <c r="U188" s="7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</row>
    <row r="189" spans="1:148" ht="102">
      <c r="A189" s="11" t="s">
        <v>29</v>
      </c>
      <c r="B189" s="12" t="s">
        <v>117</v>
      </c>
      <c r="C189" s="13" t="s">
        <v>31</v>
      </c>
      <c r="D189" s="23">
        <f>130000000</f>
        <v>130000000</v>
      </c>
      <c r="E189" s="13" t="s">
        <v>32</v>
      </c>
      <c r="F189" s="13" t="s">
        <v>118</v>
      </c>
      <c r="G189" s="13" t="s">
        <v>34</v>
      </c>
      <c r="H189" s="13"/>
      <c r="I189" s="13" t="s">
        <v>107</v>
      </c>
      <c r="J189" s="13" t="s">
        <v>119</v>
      </c>
      <c r="K189" s="12" t="s">
        <v>120</v>
      </c>
      <c r="L189" s="13"/>
      <c r="M189" s="23">
        <f>0</f>
        <v>0</v>
      </c>
      <c r="N189" s="31">
        <v>41256</v>
      </c>
      <c r="O189" s="23">
        <v>130000000</v>
      </c>
      <c r="P189" s="23">
        <f>0</f>
        <v>0</v>
      </c>
      <c r="Q189" s="26" t="s">
        <v>38</v>
      </c>
      <c r="R189" s="26" t="s">
        <v>47</v>
      </c>
      <c r="S189" s="27">
        <f>272679.45</f>
        <v>272679.45</v>
      </c>
      <c r="T189" s="13"/>
      <c r="U189" s="7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</row>
    <row r="190" spans="1:148" ht="15">
      <c r="A190" s="14" t="s">
        <v>30</v>
      </c>
      <c r="B190" s="15"/>
      <c r="C190" s="15"/>
      <c r="D190" s="24">
        <f>0</f>
        <v>0</v>
      </c>
      <c r="E190" s="15"/>
      <c r="F190" s="15"/>
      <c r="G190" s="15"/>
      <c r="H190" s="15"/>
      <c r="I190" s="15"/>
      <c r="J190" s="15"/>
      <c r="K190" s="15"/>
      <c r="L190" s="15"/>
      <c r="M190" s="24">
        <f>0</f>
        <v>0</v>
      </c>
      <c r="N190" s="15"/>
      <c r="O190" s="24">
        <f>0</f>
        <v>0</v>
      </c>
      <c r="P190" s="24">
        <f>0</f>
        <v>0</v>
      </c>
      <c r="Q190" s="28" t="s">
        <v>38</v>
      </c>
      <c r="R190" s="28" t="s">
        <v>48</v>
      </c>
      <c r="S190" s="29">
        <f>766631.57</f>
        <v>766631.57</v>
      </c>
      <c r="T190" s="15"/>
      <c r="U190" s="7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</row>
    <row r="191" spans="1:148" ht="15">
      <c r="A191" s="14" t="s">
        <v>30</v>
      </c>
      <c r="B191" s="15"/>
      <c r="C191" s="15"/>
      <c r="D191" s="24">
        <f>0</f>
        <v>0</v>
      </c>
      <c r="E191" s="15"/>
      <c r="F191" s="15"/>
      <c r="G191" s="15"/>
      <c r="H191" s="15"/>
      <c r="I191" s="15"/>
      <c r="J191" s="15"/>
      <c r="K191" s="15"/>
      <c r="L191" s="15"/>
      <c r="M191" s="24">
        <f>0</f>
        <v>0</v>
      </c>
      <c r="N191" s="15"/>
      <c r="O191" s="24">
        <f>0</f>
        <v>0</v>
      </c>
      <c r="P191" s="24">
        <f>0</f>
        <v>0</v>
      </c>
      <c r="Q191" s="28" t="s">
        <v>38</v>
      </c>
      <c r="R191" s="28" t="s">
        <v>49</v>
      </c>
      <c r="S191" s="29">
        <f>766360.66</f>
        <v>766360.66</v>
      </c>
      <c r="T191" s="15"/>
      <c r="U191" s="7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</row>
    <row r="192" spans="1:148" ht="15">
      <c r="A192" s="14" t="s">
        <v>30</v>
      </c>
      <c r="B192" s="15"/>
      <c r="C192" s="15"/>
      <c r="D192" s="24">
        <f>0</f>
        <v>0</v>
      </c>
      <c r="E192" s="15"/>
      <c r="F192" s="15"/>
      <c r="G192" s="15"/>
      <c r="H192" s="15"/>
      <c r="I192" s="15"/>
      <c r="J192" s="15"/>
      <c r="K192" s="15"/>
      <c r="L192" s="15"/>
      <c r="M192" s="24">
        <f>0</f>
        <v>0</v>
      </c>
      <c r="N192" s="15"/>
      <c r="O192" s="24">
        <f>0</f>
        <v>0</v>
      </c>
      <c r="P192" s="24">
        <f>0</f>
        <v>0</v>
      </c>
      <c r="Q192" s="28" t="s">
        <v>38</v>
      </c>
      <c r="R192" s="28" t="s">
        <v>62</v>
      </c>
      <c r="S192" s="29">
        <f>716918.03</f>
        <v>716918.03</v>
      </c>
      <c r="T192" s="15"/>
      <c r="U192" s="7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</row>
    <row r="193" spans="1:148" ht="15">
      <c r="A193" s="14" t="s">
        <v>30</v>
      </c>
      <c r="B193" s="15"/>
      <c r="C193" s="15"/>
      <c r="D193" s="24">
        <f>0</f>
        <v>0</v>
      </c>
      <c r="E193" s="15"/>
      <c r="F193" s="15"/>
      <c r="G193" s="15"/>
      <c r="H193" s="15"/>
      <c r="I193" s="15"/>
      <c r="J193" s="15"/>
      <c r="K193" s="15"/>
      <c r="L193" s="15"/>
      <c r="M193" s="24">
        <f>0</f>
        <v>0</v>
      </c>
      <c r="N193" s="15"/>
      <c r="O193" s="24">
        <f>0</f>
        <v>0</v>
      </c>
      <c r="P193" s="24">
        <f>0</f>
        <v>0</v>
      </c>
      <c r="Q193" s="28" t="s">
        <v>38</v>
      </c>
      <c r="R193" s="28" t="s">
        <v>63</v>
      </c>
      <c r="S193" s="29">
        <f>766360.66</f>
        <v>766360.66</v>
      </c>
      <c r="T193" s="15"/>
      <c r="U193" s="7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</row>
    <row r="194" spans="1:148" ht="15">
      <c r="A194" s="14" t="s">
        <v>30</v>
      </c>
      <c r="B194" s="15"/>
      <c r="C194" s="15"/>
      <c r="D194" s="24">
        <f>0</f>
        <v>0</v>
      </c>
      <c r="E194" s="15"/>
      <c r="F194" s="15"/>
      <c r="G194" s="15"/>
      <c r="H194" s="15"/>
      <c r="I194" s="15"/>
      <c r="J194" s="15"/>
      <c r="K194" s="15"/>
      <c r="L194" s="15"/>
      <c r="M194" s="24">
        <f>0</f>
        <v>0</v>
      </c>
      <c r="N194" s="15"/>
      <c r="O194" s="24">
        <f>0</f>
        <v>0</v>
      </c>
      <c r="P194" s="24">
        <f>0</f>
        <v>0</v>
      </c>
      <c r="Q194" s="28" t="s">
        <v>38</v>
      </c>
      <c r="R194" s="28" t="s">
        <v>70</v>
      </c>
      <c r="S194" s="29">
        <f>741639.34</f>
        <v>741639.34</v>
      </c>
      <c r="T194" s="15"/>
      <c r="U194" s="7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</row>
    <row r="195" spans="1:148" ht="15">
      <c r="A195" s="14" t="s">
        <v>30</v>
      </c>
      <c r="B195" s="15"/>
      <c r="C195" s="15"/>
      <c r="D195" s="24">
        <f>0</f>
        <v>0</v>
      </c>
      <c r="E195" s="15"/>
      <c r="F195" s="15"/>
      <c r="G195" s="15"/>
      <c r="H195" s="15"/>
      <c r="I195" s="15"/>
      <c r="J195" s="15"/>
      <c r="K195" s="15"/>
      <c r="L195" s="15"/>
      <c r="M195" s="24">
        <f>0</f>
        <v>0</v>
      </c>
      <c r="N195" s="15"/>
      <c r="O195" s="24">
        <f>0</f>
        <v>0</v>
      </c>
      <c r="P195" s="24">
        <f>0</f>
        <v>0</v>
      </c>
      <c r="Q195" s="28" t="s">
        <v>38</v>
      </c>
      <c r="R195" s="28" t="s">
        <v>71</v>
      </c>
      <c r="S195" s="29">
        <f>766360.66</f>
        <v>766360.66</v>
      </c>
      <c r="T195" s="15"/>
      <c r="U195" s="7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</row>
    <row r="196" spans="1:148" ht="15">
      <c r="A196" s="14" t="s">
        <v>30</v>
      </c>
      <c r="B196" s="15"/>
      <c r="C196" s="15"/>
      <c r="D196" s="24">
        <f>0</f>
        <v>0</v>
      </c>
      <c r="E196" s="15"/>
      <c r="F196" s="15"/>
      <c r="G196" s="15"/>
      <c r="H196" s="15"/>
      <c r="I196" s="15"/>
      <c r="J196" s="15"/>
      <c r="K196" s="15"/>
      <c r="L196" s="15"/>
      <c r="M196" s="24">
        <f>0</f>
        <v>0</v>
      </c>
      <c r="N196" s="15"/>
      <c r="O196" s="24">
        <f>0</f>
        <v>0</v>
      </c>
      <c r="P196" s="24">
        <f>0</f>
        <v>0</v>
      </c>
      <c r="Q196" s="28" t="s">
        <v>38</v>
      </c>
      <c r="R196" s="28" t="s">
        <v>72</v>
      </c>
      <c r="S196" s="29">
        <f>741639.34</f>
        <v>741639.34</v>
      </c>
      <c r="T196" s="15"/>
      <c r="U196" s="7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</row>
    <row r="197" spans="1:148" ht="15">
      <c r="A197" s="14" t="s">
        <v>30</v>
      </c>
      <c r="B197" s="15"/>
      <c r="C197" s="15"/>
      <c r="D197" s="24">
        <f>0</f>
        <v>0</v>
      </c>
      <c r="E197" s="15"/>
      <c r="F197" s="15"/>
      <c r="G197" s="15"/>
      <c r="H197" s="15"/>
      <c r="I197" s="15"/>
      <c r="J197" s="15"/>
      <c r="K197" s="15"/>
      <c r="L197" s="15"/>
      <c r="M197" s="24">
        <f>0</f>
        <v>0</v>
      </c>
      <c r="N197" s="15"/>
      <c r="O197" s="24">
        <f>0</f>
        <v>0</v>
      </c>
      <c r="P197" s="24">
        <f>0</f>
        <v>0</v>
      </c>
      <c r="Q197" s="28" t="s">
        <v>38</v>
      </c>
      <c r="R197" s="28" t="s">
        <v>73</v>
      </c>
      <c r="S197" s="29">
        <f>766360.66</f>
        <v>766360.66</v>
      </c>
      <c r="T197" s="15"/>
      <c r="U197" s="7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</row>
    <row r="198" spans="1:148" ht="15">
      <c r="A198" s="14" t="s">
        <v>30</v>
      </c>
      <c r="B198" s="15"/>
      <c r="C198" s="15"/>
      <c r="D198" s="24">
        <f>0</f>
        <v>0</v>
      </c>
      <c r="E198" s="15"/>
      <c r="F198" s="15"/>
      <c r="G198" s="15"/>
      <c r="H198" s="15"/>
      <c r="I198" s="15"/>
      <c r="J198" s="15"/>
      <c r="K198" s="15"/>
      <c r="L198" s="15"/>
      <c r="M198" s="24">
        <f>0</f>
        <v>0</v>
      </c>
      <c r="N198" s="15"/>
      <c r="O198" s="24">
        <f>0</f>
        <v>0</v>
      </c>
      <c r="P198" s="24">
        <f>0</f>
        <v>0</v>
      </c>
      <c r="Q198" s="28" t="s">
        <v>38</v>
      </c>
      <c r="R198" s="28" t="s">
        <v>79</v>
      </c>
      <c r="S198" s="29">
        <f>766360.66</f>
        <v>766360.66</v>
      </c>
      <c r="T198" s="15"/>
      <c r="U198" s="7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</row>
    <row r="199" spans="1:148" ht="15">
      <c r="A199" s="14" t="s">
        <v>30</v>
      </c>
      <c r="B199" s="15"/>
      <c r="C199" s="15"/>
      <c r="D199" s="24">
        <f>0</f>
        <v>0</v>
      </c>
      <c r="E199" s="15"/>
      <c r="F199" s="15"/>
      <c r="G199" s="15"/>
      <c r="H199" s="15"/>
      <c r="I199" s="15"/>
      <c r="J199" s="15"/>
      <c r="K199" s="15"/>
      <c r="L199" s="15"/>
      <c r="M199" s="24">
        <f>0</f>
        <v>0</v>
      </c>
      <c r="N199" s="15"/>
      <c r="O199" s="24">
        <f>0</f>
        <v>0</v>
      </c>
      <c r="P199" s="24">
        <f>0</f>
        <v>0</v>
      </c>
      <c r="Q199" s="28" t="s">
        <v>38</v>
      </c>
      <c r="R199" s="28" t="s">
        <v>94</v>
      </c>
      <c r="S199" s="29">
        <f>741639.34</f>
        <v>741639.34</v>
      </c>
      <c r="T199" s="15"/>
      <c r="U199" s="7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</row>
    <row r="200" spans="1:148" ht="15">
      <c r="A200" s="14" t="s">
        <v>30</v>
      </c>
      <c r="B200" s="15"/>
      <c r="C200" s="15"/>
      <c r="D200" s="24">
        <f>0</f>
        <v>0</v>
      </c>
      <c r="E200" s="15"/>
      <c r="F200" s="15"/>
      <c r="G200" s="15"/>
      <c r="H200" s="15"/>
      <c r="I200" s="15"/>
      <c r="J200" s="15"/>
      <c r="K200" s="15"/>
      <c r="L200" s="15"/>
      <c r="M200" s="24">
        <f>0</f>
        <v>0</v>
      </c>
      <c r="N200" s="15"/>
      <c r="O200" s="24">
        <f>0</f>
        <v>0</v>
      </c>
      <c r="P200" s="24">
        <f>0</f>
        <v>0</v>
      </c>
      <c r="Q200" s="28" t="s">
        <v>38</v>
      </c>
      <c r="R200" s="28" t="s">
        <v>111</v>
      </c>
      <c r="S200" s="29">
        <f>766360.66</f>
        <v>766360.66</v>
      </c>
      <c r="T200" s="15"/>
      <c r="U200" s="7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</row>
    <row r="201" spans="1:148" ht="15">
      <c r="A201" s="14" t="s">
        <v>30</v>
      </c>
      <c r="B201" s="15"/>
      <c r="C201" s="15"/>
      <c r="D201" s="24">
        <f>0</f>
        <v>0</v>
      </c>
      <c r="E201" s="15"/>
      <c r="F201" s="15"/>
      <c r="G201" s="15"/>
      <c r="H201" s="15"/>
      <c r="I201" s="15"/>
      <c r="J201" s="15"/>
      <c r="K201" s="15"/>
      <c r="L201" s="15"/>
      <c r="M201" s="24">
        <f>0</f>
        <v>0</v>
      </c>
      <c r="N201" s="15"/>
      <c r="O201" s="24">
        <f>0</f>
        <v>0</v>
      </c>
      <c r="P201" s="24">
        <f>0</f>
        <v>0</v>
      </c>
      <c r="Q201" s="28" t="s">
        <v>38</v>
      </c>
      <c r="R201" s="28" t="s">
        <v>121</v>
      </c>
      <c r="S201" s="29">
        <f>395540.98</f>
        <v>395540.98</v>
      </c>
      <c r="T201" s="15"/>
      <c r="U201" s="7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</row>
    <row r="202" spans="1:148" ht="102">
      <c r="A202" s="11" t="s">
        <v>29</v>
      </c>
      <c r="B202" s="12" t="s">
        <v>122</v>
      </c>
      <c r="C202" s="13" t="s">
        <v>31</v>
      </c>
      <c r="D202" s="23">
        <f>400000000</f>
        <v>400000000</v>
      </c>
      <c r="E202" s="13" t="s">
        <v>32</v>
      </c>
      <c r="F202" s="13" t="s">
        <v>123</v>
      </c>
      <c r="G202" s="13" t="s">
        <v>34</v>
      </c>
      <c r="H202" s="13"/>
      <c r="I202" s="13" t="s">
        <v>124</v>
      </c>
      <c r="J202" s="13" t="s">
        <v>119</v>
      </c>
      <c r="K202" s="12" t="s">
        <v>120</v>
      </c>
      <c r="L202" s="13"/>
      <c r="M202" s="23">
        <f>0</f>
        <v>0</v>
      </c>
      <c r="N202" s="31">
        <v>41256</v>
      </c>
      <c r="O202" s="23">
        <v>400000000</v>
      </c>
      <c r="P202" s="23">
        <f>0</f>
        <v>0</v>
      </c>
      <c r="Q202" s="26" t="s">
        <v>38</v>
      </c>
      <c r="R202" s="26" t="s">
        <v>47</v>
      </c>
      <c r="S202" s="27">
        <f>839013.7</f>
        <v>839013.7</v>
      </c>
      <c r="T202" s="13"/>
      <c r="U202" s="7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</row>
    <row r="203" spans="1:148" ht="15">
      <c r="A203" s="14" t="s">
        <v>30</v>
      </c>
      <c r="B203" s="15"/>
      <c r="C203" s="15"/>
      <c r="D203" s="24">
        <f>0</f>
        <v>0</v>
      </c>
      <c r="E203" s="15"/>
      <c r="F203" s="15"/>
      <c r="G203" s="15"/>
      <c r="H203" s="15"/>
      <c r="I203" s="15"/>
      <c r="J203" s="15"/>
      <c r="K203" s="15"/>
      <c r="L203" s="15"/>
      <c r="M203" s="24">
        <f>0</f>
        <v>0</v>
      </c>
      <c r="N203" s="15"/>
      <c r="O203" s="24">
        <f>0</f>
        <v>0</v>
      </c>
      <c r="P203" s="24">
        <f>0</f>
        <v>0</v>
      </c>
      <c r="Q203" s="28" t="s">
        <v>38</v>
      </c>
      <c r="R203" s="28" t="s">
        <v>48</v>
      </c>
      <c r="S203" s="29">
        <f>2358866.38</f>
        <v>2358866.38</v>
      </c>
      <c r="T203" s="15"/>
      <c r="U203" s="7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</row>
    <row r="204" spans="1:148" ht="15">
      <c r="A204" s="14" t="s">
        <v>30</v>
      </c>
      <c r="B204" s="15"/>
      <c r="C204" s="15"/>
      <c r="D204" s="24">
        <f>0</f>
        <v>0</v>
      </c>
      <c r="E204" s="15"/>
      <c r="F204" s="15"/>
      <c r="G204" s="15"/>
      <c r="H204" s="15"/>
      <c r="I204" s="15"/>
      <c r="J204" s="15"/>
      <c r="K204" s="15"/>
      <c r="L204" s="15"/>
      <c r="M204" s="24">
        <f>0</f>
        <v>0</v>
      </c>
      <c r="N204" s="15"/>
      <c r="O204" s="24">
        <f>0</f>
        <v>0</v>
      </c>
      <c r="P204" s="24">
        <f>0</f>
        <v>0</v>
      </c>
      <c r="Q204" s="28" t="s">
        <v>38</v>
      </c>
      <c r="R204" s="28" t="s">
        <v>49</v>
      </c>
      <c r="S204" s="29">
        <f>2358032.79</f>
        <v>2358032.79</v>
      </c>
      <c r="T204" s="15"/>
      <c r="U204" s="7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</row>
    <row r="205" spans="1:148" ht="15">
      <c r="A205" s="14" t="s">
        <v>30</v>
      </c>
      <c r="B205" s="15"/>
      <c r="C205" s="15"/>
      <c r="D205" s="24">
        <f>0</f>
        <v>0</v>
      </c>
      <c r="E205" s="15"/>
      <c r="F205" s="15"/>
      <c r="G205" s="15"/>
      <c r="H205" s="15"/>
      <c r="I205" s="15"/>
      <c r="J205" s="15"/>
      <c r="K205" s="15"/>
      <c r="L205" s="15"/>
      <c r="M205" s="24">
        <f>0</f>
        <v>0</v>
      </c>
      <c r="N205" s="15"/>
      <c r="O205" s="24">
        <f>0</f>
        <v>0</v>
      </c>
      <c r="P205" s="24">
        <f>0</f>
        <v>0</v>
      </c>
      <c r="Q205" s="28" t="s">
        <v>38</v>
      </c>
      <c r="R205" s="28" t="s">
        <v>62</v>
      </c>
      <c r="S205" s="29">
        <f>2205901.64</f>
        <v>2205901.64</v>
      </c>
      <c r="T205" s="15"/>
      <c r="U205" s="7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</row>
    <row r="206" spans="1:148" ht="15">
      <c r="A206" s="14" t="s">
        <v>30</v>
      </c>
      <c r="B206" s="15"/>
      <c r="C206" s="15"/>
      <c r="D206" s="24">
        <f>0</f>
        <v>0</v>
      </c>
      <c r="E206" s="15"/>
      <c r="F206" s="15"/>
      <c r="G206" s="15"/>
      <c r="H206" s="15"/>
      <c r="I206" s="15"/>
      <c r="J206" s="15"/>
      <c r="K206" s="15"/>
      <c r="L206" s="15"/>
      <c r="M206" s="24">
        <f>0</f>
        <v>0</v>
      </c>
      <c r="N206" s="15"/>
      <c r="O206" s="24">
        <f>0</f>
        <v>0</v>
      </c>
      <c r="P206" s="24">
        <f>0</f>
        <v>0</v>
      </c>
      <c r="Q206" s="28" t="s">
        <v>38</v>
      </c>
      <c r="R206" s="28" t="s">
        <v>63</v>
      </c>
      <c r="S206" s="29">
        <f>2358032.79</f>
        <v>2358032.79</v>
      </c>
      <c r="T206" s="15"/>
      <c r="U206" s="7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</row>
    <row r="207" spans="1:148" ht="15">
      <c r="A207" s="14" t="s">
        <v>30</v>
      </c>
      <c r="B207" s="15"/>
      <c r="C207" s="15"/>
      <c r="D207" s="24">
        <f>0</f>
        <v>0</v>
      </c>
      <c r="E207" s="15"/>
      <c r="F207" s="15"/>
      <c r="G207" s="15"/>
      <c r="H207" s="15"/>
      <c r="I207" s="15"/>
      <c r="J207" s="15"/>
      <c r="K207" s="15"/>
      <c r="L207" s="15"/>
      <c r="M207" s="24">
        <f>0</f>
        <v>0</v>
      </c>
      <c r="N207" s="15"/>
      <c r="O207" s="24">
        <f>0</f>
        <v>0</v>
      </c>
      <c r="P207" s="24">
        <f>0</f>
        <v>0</v>
      </c>
      <c r="Q207" s="28" t="s">
        <v>38</v>
      </c>
      <c r="R207" s="28" t="s">
        <v>70</v>
      </c>
      <c r="S207" s="29">
        <f>2281967.21</f>
        <v>2281967.21</v>
      </c>
      <c r="T207" s="15"/>
      <c r="U207" s="7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</row>
    <row r="208" spans="1:148" ht="15">
      <c r="A208" s="14" t="s">
        <v>30</v>
      </c>
      <c r="B208" s="15"/>
      <c r="C208" s="15"/>
      <c r="D208" s="24">
        <f>0</f>
        <v>0</v>
      </c>
      <c r="E208" s="15"/>
      <c r="F208" s="15"/>
      <c r="G208" s="15"/>
      <c r="H208" s="15"/>
      <c r="I208" s="15"/>
      <c r="J208" s="15"/>
      <c r="K208" s="15"/>
      <c r="L208" s="15"/>
      <c r="M208" s="24">
        <f>0</f>
        <v>0</v>
      </c>
      <c r="N208" s="15"/>
      <c r="O208" s="24">
        <f>0</f>
        <v>0</v>
      </c>
      <c r="P208" s="24">
        <f>0</f>
        <v>0</v>
      </c>
      <c r="Q208" s="28" t="s">
        <v>38</v>
      </c>
      <c r="R208" s="28" t="s">
        <v>71</v>
      </c>
      <c r="S208" s="29">
        <f>2358032.79</f>
        <v>2358032.79</v>
      </c>
      <c r="T208" s="15"/>
      <c r="U208" s="7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</row>
    <row r="209" spans="1:148" ht="15">
      <c r="A209" s="14" t="s">
        <v>30</v>
      </c>
      <c r="B209" s="15"/>
      <c r="C209" s="15"/>
      <c r="D209" s="24">
        <f>0</f>
        <v>0</v>
      </c>
      <c r="E209" s="15"/>
      <c r="F209" s="15"/>
      <c r="G209" s="15"/>
      <c r="H209" s="15"/>
      <c r="I209" s="15"/>
      <c r="J209" s="15"/>
      <c r="K209" s="15"/>
      <c r="L209" s="15"/>
      <c r="M209" s="24">
        <f>0</f>
        <v>0</v>
      </c>
      <c r="N209" s="15"/>
      <c r="O209" s="24">
        <f>0</f>
        <v>0</v>
      </c>
      <c r="P209" s="24">
        <f>0</f>
        <v>0</v>
      </c>
      <c r="Q209" s="28" t="s">
        <v>38</v>
      </c>
      <c r="R209" s="28" t="s">
        <v>72</v>
      </c>
      <c r="S209" s="29">
        <f>2281967.21</f>
        <v>2281967.21</v>
      </c>
      <c r="T209" s="15"/>
      <c r="U209" s="7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</row>
    <row r="210" spans="1:148" ht="15">
      <c r="A210" s="14" t="s">
        <v>30</v>
      </c>
      <c r="B210" s="15"/>
      <c r="C210" s="15"/>
      <c r="D210" s="24">
        <f>0</f>
        <v>0</v>
      </c>
      <c r="E210" s="15"/>
      <c r="F210" s="15"/>
      <c r="G210" s="15"/>
      <c r="H210" s="15"/>
      <c r="I210" s="15"/>
      <c r="J210" s="15"/>
      <c r="K210" s="15"/>
      <c r="L210" s="15"/>
      <c r="M210" s="24">
        <f>0</f>
        <v>0</v>
      </c>
      <c r="N210" s="15"/>
      <c r="O210" s="24">
        <f>0</f>
        <v>0</v>
      </c>
      <c r="P210" s="24">
        <f>0</f>
        <v>0</v>
      </c>
      <c r="Q210" s="28" t="s">
        <v>38</v>
      </c>
      <c r="R210" s="28" t="s">
        <v>73</v>
      </c>
      <c r="S210" s="29">
        <f>2358032.79</f>
        <v>2358032.79</v>
      </c>
      <c r="T210" s="15"/>
      <c r="U210" s="7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</row>
    <row r="211" spans="1:148" ht="15">
      <c r="A211" s="14" t="s">
        <v>30</v>
      </c>
      <c r="B211" s="15"/>
      <c r="C211" s="15"/>
      <c r="D211" s="24">
        <f>0</f>
        <v>0</v>
      </c>
      <c r="E211" s="15"/>
      <c r="F211" s="15"/>
      <c r="G211" s="15"/>
      <c r="H211" s="15"/>
      <c r="I211" s="15"/>
      <c r="J211" s="15"/>
      <c r="K211" s="15"/>
      <c r="L211" s="15"/>
      <c r="M211" s="24">
        <f>0</f>
        <v>0</v>
      </c>
      <c r="N211" s="15"/>
      <c r="O211" s="24">
        <f>0</f>
        <v>0</v>
      </c>
      <c r="P211" s="24">
        <f>0</f>
        <v>0</v>
      </c>
      <c r="Q211" s="28" t="s">
        <v>38</v>
      </c>
      <c r="R211" s="28" t="s">
        <v>79</v>
      </c>
      <c r="S211" s="29">
        <f>2358032.79</f>
        <v>2358032.79</v>
      </c>
      <c r="T211" s="15"/>
      <c r="U211" s="7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</row>
    <row r="212" spans="1:148" ht="15">
      <c r="A212" s="14" t="s">
        <v>30</v>
      </c>
      <c r="B212" s="15"/>
      <c r="C212" s="15"/>
      <c r="D212" s="24">
        <f>0</f>
        <v>0</v>
      </c>
      <c r="E212" s="15"/>
      <c r="F212" s="15"/>
      <c r="G212" s="15"/>
      <c r="H212" s="15"/>
      <c r="I212" s="15"/>
      <c r="J212" s="15"/>
      <c r="K212" s="15"/>
      <c r="L212" s="15"/>
      <c r="M212" s="24">
        <f>0</f>
        <v>0</v>
      </c>
      <c r="N212" s="15"/>
      <c r="O212" s="24">
        <f>0</f>
        <v>0</v>
      </c>
      <c r="P212" s="24">
        <f>0</f>
        <v>0</v>
      </c>
      <c r="Q212" s="28" t="s">
        <v>38</v>
      </c>
      <c r="R212" s="28" t="s">
        <v>94</v>
      </c>
      <c r="S212" s="29">
        <f>2281967.21</f>
        <v>2281967.21</v>
      </c>
      <c r="T212" s="15"/>
      <c r="U212" s="7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</row>
    <row r="213" spans="1:148" ht="15">
      <c r="A213" s="14" t="s">
        <v>30</v>
      </c>
      <c r="B213" s="15"/>
      <c r="C213" s="15"/>
      <c r="D213" s="24">
        <f>0</f>
        <v>0</v>
      </c>
      <c r="E213" s="15"/>
      <c r="F213" s="15"/>
      <c r="G213" s="15"/>
      <c r="H213" s="15"/>
      <c r="I213" s="15"/>
      <c r="J213" s="15"/>
      <c r="K213" s="15"/>
      <c r="L213" s="15"/>
      <c r="M213" s="24">
        <f>0</f>
        <v>0</v>
      </c>
      <c r="N213" s="15"/>
      <c r="O213" s="24">
        <f>0</f>
        <v>0</v>
      </c>
      <c r="P213" s="24">
        <f>0</f>
        <v>0</v>
      </c>
      <c r="Q213" s="28" t="s">
        <v>38</v>
      </c>
      <c r="R213" s="28" t="s">
        <v>111</v>
      </c>
      <c r="S213" s="29">
        <f>2358032.79</f>
        <v>2358032.79</v>
      </c>
      <c r="T213" s="15"/>
      <c r="U213" s="7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</row>
    <row r="214" spans="1:148" ht="15">
      <c r="A214" s="14" t="s">
        <v>30</v>
      </c>
      <c r="B214" s="15"/>
      <c r="C214" s="15"/>
      <c r="D214" s="24">
        <f>0</f>
        <v>0</v>
      </c>
      <c r="E214" s="15"/>
      <c r="F214" s="15"/>
      <c r="G214" s="15"/>
      <c r="H214" s="15"/>
      <c r="I214" s="15"/>
      <c r="J214" s="15"/>
      <c r="K214" s="15"/>
      <c r="L214" s="15"/>
      <c r="M214" s="24">
        <f>0</f>
        <v>0</v>
      </c>
      <c r="N214" s="15"/>
      <c r="O214" s="24">
        <f>0</f>
        <v>0</v>
      </c>
      <c r="P214" s="24">
        <f>0</f>
        <v>0</v>
      </c>
      <c r="Q214" s="28" t="s">
        <v>38</v>
      </c>
      <c r="R214" s="28" t="s">
        <v>121</v>
      </c>
      <c r="S214" s="29">
        <f>1217049.18</f>
        <v>1217049.18</v>
      </c>
      <c r="T214" s="15"/>
      <c r="U214" s="7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</row>
    <row r="215" spans="1:148" ht="102">
      <c r="A215" s="11" t="s">
        <v>29</v>
      </c>
      <c r="B215" s="12" t="s">
        <v>125</v>
      </c>
      <c r="C215" s="13" t="s">
        <v>31</v>
      </c>
      <c r="D215" s="23">
        <f>170000000</f>
        <v>170000000</v>
      </c>
      <c r="E215" s="13" t="s">
        <v>32</v>
      </c>
      <c r="F215" s="13" t="s">
        <v>126</v>
      </c>
      <c r="G215" s="13" t="s">
        <v>34</v>
      </c>
      <c r="H215" s="13"/>
      <c r="I215" s="13" t="s">
        <v>124</v>
      </c>
      <c r="J215" s="13" t="s">
        <v>127</v>
      </c>
      <c r="K215" s="12" t="s">
        <v>128</v>
      </c>
      <c r="L215" s="13"/>
      <c r="M215" s="23">
        <f>0</f>
        <v>0</v>
      </c>
      <c r="N215" s="13"/>
      <c r="O215" s="23">
        <f>0</f>
        <v>0</v>
      </c>
      <c r="P215" s="23">
        <f>0</f>
        <v>0</v>
      </c>
      <c r="Q215" s="26" t="s">
        <v>38</v>
      </c>
      <c r="R215" s="26" t="s">
        <v>47</v>
      </c>
      <c r="S215" s="27">
        <f>167671.23</f>
        <v>167671.23</v>
      </c>
      <c r="T215" s="13"/>
      <c r="U215" s="7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</row>
    <row r="216" spans="1:148" ht="15">
      <c r="A216" s="14" t="s">
        <v>30</v>
      </c>
      <c r="B216" s="15"/>
      <c r="C216" s="15"/>
      <c r="D216" s="24">
        <f>0</f>
        <v>0</v>
      </c>
      <c r="E216" s="15"/>
      <c r="F216" s="15"/>
      <c r="G216" s="15"/>
      <c r="H216" s="15"/>
      <c r="I216" s="15"/>
      <c r="J216" s="15"/>
      <c r="K216" s="15"/>
      <c r="L216" s="15"/>
      <c r="M216" s="24">
        <f>0</f>
        <v>0</v>
      </c>
      <c r="N216" s="15"/>
      <c r="O216" s="24">
        <f>0</f>
        <v>0</v>
      </c>
      <c r="P216" s="24">
        <f>0</f>
        <v>0</v>
      </c>
      <c r="Q216" s="28" t="s">
        <v>38</v>
      </c>
      <c r="R216" s="28" t="s">
        <v>48</v>
      </c>
      <c r="S216" s="29">
        <f>1296359.75</f>
        <v>1296359.75</v>
      </c>
      <c r="T216" s="15"/>
      <c r="U216" s="7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</row>
    <row r="217" spans="1:148" ht="15">
      <c r="A217" s="14" t="s">
        <v>30</v>
      </c>
      <c r="B217" s="15"/>
      <c r="C217" s="15"/>
      <c r="D217" s="24">
        <f>0</f>
        <v>0</v>
      </c>
      <c r="E217" s="15"/>
      <c r="F217" s="15"/>
      <c r="G217" s="15"/>
      <c r="H217" s="15"/>
      <c r="I217" s="15"/>
      <c r="J217" s="15"/>
      <c r="K217" s="15"/>
      <c r="L217" s="15"/>
      <c r="M217" s="24">
        <f>0</f>
        <v>0</v>
      </c>
      <c r="N217" s="15"/>
      <c r="O217" s="24">
        <f>0</f>
        <v>0</v>
      </c>
      <c r="P217" s="24">
        <f>0</f>
        <v>0</v>
      </c>
      <c r="Q217" s="28" t="s">
        <v>38</v>
      </c>
      <c r="R217" s="28" t="s">
        <v>49</v>
      </c>
      <c r="S217" s="29">
        <f>1295901.64</f>
        <v>1295901.64</v>
      </c>
      <c r="T217" s="15"/>
      <c r="U217" s="7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</row>
    <row r="218" spans="1:148" ht="15">
      <c r="A218" s="14" t="s">
        <v>30</v>
      </c>
      <c r="B218" s="15"/>
      <c r="C218" s="15"/>
      <c r="D218" s="24">
        <f>0</f>
        <v>0</v>
      </c>
      <c r="E218" s="15"/>
      <c r="F218" s="15"/>
      <c r="G218" s="15"/>
      <c r="H218" s="15"/>
      <c r="I218" s="15"/>
      <c r="J218" s="15"/>
      <c r="K218" s="15"/>
      <c r="L218" s="15"/>
      <c r="M218" s="24">
        <f>0</f>
        <v>0</v>
      </c>
      <c r="N218" s="15"/>
      <c r="O218" s="24">
        <f>0</f>
        <v>0</v>
      </c>
      <c r="P218" s="24">
        <f>0</f>
        <v>0</v>
      </c>
      <c r="Q218" s="28" t="s">
        <v>38</v>
      </c>
      <c r="R218" s="28" t="s">
        <v>62</v>
      </c>
      <c r="S218" s="29">
        <f>1212295.08</f>
        <v>1212295.08</v>
      </c>
      <c r="T218" s="15"/>
      <c r="U218" s="7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</row>
    <row r="219" spans="1:148" ht="15">
      <c r="A219" s="14" t="s">
        <v>30</v>
      </c>
      <c r="B219" s="15"/>
      <c r="C219" s="15"/>
      <c r="D219" s="24">
        <f>0</f>
        <v>0</v>
      </c>
      <c r="E219" s="15"/>
      <c r="F219" s="15"/>
      <c r="G219" s="15"/>
      <c r="H219" s="15"/>
      <c r="I219" s="15"/>
      <c r="J219" s="15"/>
      <c r="K219" s="15"/>
      <c r="L219" s="15"/>
      <c r="M219" s="24">
        <f>0</f>
        <v>0</v>
      </c>
      <c r="N219" s="15"/>
      <c r="O219" s="24">
        <f>0</f>
        <v>0</v>
      </c>
      <c r="P219" s="24">
        <f>0</f>
        <v>0</v>
      </c>
      <c r="Q219" s="28" t="s">
        <v>38</v>
      </c>
      <c r="R219" s="28" t="s">
        <v>63</v>
      </c>
      <c r="S219" s="29">
        <f>1295901.64</f>
        <v>1295901.64</v>
      </c>
      <c r="T219" s="15"/>
      <c r="U219" s="7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</row>
    <row r="220" spans="1:148" ht="15">
      <c r="A220" s="14" t="s">
        <v>30</v>
      </c>
      <c r="B220" s="15"/>
      <c r="C220" s="15"/>
      <c r="D220" s="24">
        <f>0</f>
        <v>0</v>
      </c>
      <c r="E220" s="15"/>
      <c r="F220" s="15"/>
      <c r="G220" s="15"/>
      <c r="H220" s="15"/>
      <c r="I220" s="15"/>
      <c r="J220" s="15"/>
      <c r="K220" s="15"/>
      <c r="L220" s="15"/>
      <c r="M220" s="24">
        <f>0</f>
        <v>0</v>
      </c>
      <c r="N220" s="15"/>
      <c r="O220" s="24">
        <f>0</f>
        <v>0</v>
      </c>
      <c r="P220" s="24">
        <f>0</f>
        <v>0</v>
      </c>
      <c r="Q220" s="28" t="s">
        <v>38</v>
      </c>
      <c r="R220" s="28" t="s">
        <v>129</v>
      </c>
      <c r="S220" s="29">
        <f>1003278.69</f>
        <v>1003278.69</v>
      </c>
      <c r="T220" s="15"/>
      <c r="U220" s="7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</row>
    <row r="221" spans="1:148" ht="102">
      <c r="A221" s="11" t="s">
        <v>29</v>
      </c>
      <c r="B221" s="12" t="s">
        <v>130</v>
      </c>
      <c r="C221" s="13" t="s">
        <v>31</v>
      </c>
      <c r="D221" s="23">
        <f>354943300</f>
        <v>354943300</v>
      </c>
      <c r="E221" s="13" t="s">
        <v>32</v>
      </c>
      <c r="F221" s="13" t="s">
        <v>131</v>
      </c>
      <c r="G221" s="13" t="s">
        <v>34</v>
      </c>
      <c r="H221" s="13"/>
      <c r="I221" s="13" t="s">
        <v>124</v>
      </c>
      <c r="J221" s="13" t="s">
        <v>127</v>
      </c>
      <c r="K221" s="12" t="s">
        <v>128</v>
      </c>
      <c r="L221" s="13"/>
      <c r="M221" s="23">
        <f>0</f>
        <v>0</v>
      </c>
      <c r="N221" s="13"/>
      <c r="O221" s="23">
        <f>0</f>
        <v>0</v>
      </c>
      <c r="P221" s="23">
        <f>0</f>
        <v>0</v>
      </c>
      <c r="Q221" s="26" t="s">
        <v>38</v>
      </c>
      <c r="R221" s="26" t="s">
        <v>47</v>
      </c>
      <c r="S221" s="27">
        <f>350081.06</f>
        <v>350081.06</v>
      </c>
      <c r="T221" s="13"/>
      <c r="U221" s="7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</row>
    <row r="222" spans="1:148" ht="15">
      <c r="A222" s="14" t="s">
        <v>30</v>
      </c>
      <c r="B222" s="15"/>
      <c r="C222" s="15"/>
      <c r="D222" s="24">
        <f>0</f>
        <v>0</v>
      </c>
      <c r="E222" s="15"/>
      <c r="F222" s="15"/>
      <c r="G222" s="15"/>
      <c r="H222" s="15"/>
      <c r="I222" s="15"/>
      <c r="J222" s="15"/>
      <c r="K222" s="15"/>
      <c r="L222" s="15"/>
      <c r="M222" s="24">
        <f>0</f>
        <v>0</v>
      </c>
      <c r="N222" s="15"/>
      <c r="O222" s="24">
        <f>0</f>
        <v>0</v>
      </c>
      <c r="P222" s="24">
        <f>0</f>
        <v>0</v>
      </c>
      <c r="Q222" s="28" t="s">
        <v>38</v>
      </c>
      <c r="R222" s="28" t="s">
        <v>48</v>
      </c>
      <c r="S222" s="29">
        <f>2706671.82</f>
        <v>2706671.82</v>
      </c>
      <c r="T222" s="15"/>
      <c r="U222" s="7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</row>
    <row r="223" spans="1:148" ht="15">
      <c r="A223" s="14" t="s">
        <v>30</v>
      </c>
      <c r="B223" s="15"/>
      <c r="C223" s="15"/>
      <c r="D223" s="24">
        <f>0</f>
        <v>0</v>
      </c>
      <c r="E223" s="15"/>
      <c r="F223" s="15"/>
      <c r="G223" s="15"/>
      <c r="H223" s="15"/>
      <c r="I223" s="15"/>
      <c r="J223" s="15"/>
      <c r="K223" s="15"/>
      <c r="L223" s="15"/>
      <c r="M223" s="24">
        <f>0</f>
        <v>0</v>
      </c>
      <c r="N223" s="15"/>
      <c r="O223" s="24">
        <f>0</f>
        <v>0</v>
      </c>
      <c r="P223" s="24">
        <f>0</f>
        <v>0</v>
      </c>
      <c r="Q223" s="28" t="s">
        <v>38</v>
      </c>
      <c r="R223" s="28" t="s">
        <v>49</v>
      </c>
      <c r="S223" s="29">
        <f>2705715.32</f>
        <v>2705715.32</v>
      </c>
      <c r="T223" s="15"/>
      <c r="U223" s="7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</row>
    <row r="224" spans="1:148" ht="15">
      <c r="A224" s="14" t="s">
        <v>30</v>
      </c>
      <c r="B224" s="15"/>
      <c r="C224" s="15"/>
      <c r="D224" s="24">
        <f>0</f>
        <v>0</v>
      </c>
      <c r="E224" s="15"/>
      <c r="F224" s="15"/>
      <c r="G224" s="15"/>
      <c r="H224" s="15"/>
      <c r="I224" s="15"/>
      <c r="J224" s="15"/>
      <c r="K224" s="15"/>
      <c r="L224" s="15"/>
      <c r="M224" s="24">
        <f>0</f>
        <v>0</v>
      </c>
      <c r="N224" s="15"/>
      <c r="O224" s="24">
        <f>0</f>
        <v>0</v>
      </c>
      <c r="P224" s="24">
        <f>0</f>
        <v>0</v>
      </c>
      <c r="Q224" s="28" t="s">
        <v>38</v>
      </c>
      <c r="R224" s="28" t="s">
        <v>62</v>
      </c>
      <c r="S224" s="29">
        <f>2531153.04</f>
        <v>2531153.04</v>
      </c>
      <c r="T224" s="15"/>
      <c r="U224" s="7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</row>
    <row r="225" spans="1:148" ht="15">
      <c r="A225" s="14" t="s">
        <v>30</v>
      </c>
      <c r="B225" s="15"/>
      <c r="C225" s="15"/>
      <c r="D225" s="24">
        <f>0</f>
        <v>0</v>
      </c>
      <c r="E225" s="15"/>
      <c r="F225" s="15"/>
      <c r="G225" s="15"/>
      <c r="H225" s="15"/>
      <c r="I225" s="15"/>
      <c r="J225" s="15"/>
      <c r="K225" s="15"/>
      <c r="L225" s="15"/>
      <c r="M225" s="24">
        <f>0</f>
        <v>0</v>
      </c>
      <c r="N225" s="15"/>
      <c r="O225" s="24">
        <f>0</f>
        <v>0</v>
      </c>
      <c r="P225" s="24">
        <f>0</f>
        <v>0</v>
      </c>
      <c r="Q225" s="28" t="s">
        <v>38</v>
      </c>
      <c r="R225" s="28" t="s">
        <v>63</v>
      </c>
      <c r="S225" s="29">
        <f>2656534.99</f>
        <v>2656534.99</v>
      </c>
      <c r="T225" s="15"/>
      <c r="U225" s="7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</row>
    <row r="226" spans="1:148" ht="15">
      <c r="A226" s="14" t="s">
        <v>30</v>
      </c>
      <c r="B226" s="15"/>
      <c r="C226" s="15"/>
      <c r="D226" s="24">
        <f>0</f>
        <v>0</v>
      </c>
      <c r="E226" s="15"/>
      <c r="F226" s="15"/>
      <c r="G226" s="15"/>
      <c r="H226" s="15"/>
      <c r="I226" s="15"/>
      <c r="J226" s="15"/>
      <c r="K226" s="15"/>
      <c r="L226" s="15"/>
      <c r="M226" s="24">
        <f>0</f>
        <v>0</v>
      </c>
      <c r="N226" s="15"/>
      <c r="O226" s="24">
        <f>0</f>
        <v>0</v>
      </c>
      <c r="P226" s="24">
        <f>0</f>
        <v>0</v>
      </c>
      <c r="Q226" s="28" t="s">
        <v>38</v>
      </c>
      <c r="R226" s="28" t="s">
        <v>129</v>
      </c>
      <c r="S226" s="29">
        <f>914419.48</f>
        <v>914419.48</v>
      </c>
      <c r="T226" s="15"/>
      <c r="U226" s="7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</row>
    <row r="227" spans="1:148" ht="89.25">
      <c r="A227" s="11" t="s">
        <v>29</v>
      </c>
      <c r="B227" s="12" t="s">
        <v>132</v>
      </c>
      <c r="C227" s="13" t="s">
        <v>31</v>
      </c>
      <c r="D227" s="23">
        <f>190000000</f>
        <v>190000000</v>
      </c>
      <c r="E227" s="13" t="s">
        <v>133</v>
      </c>
      <c r="F227" s="13" t="s">
        <v>134</v>
      </c>
      <c r="G227" s="13" t="s">
        <v>34</v>
      </c>
      <c r="H227" s="13"/>
      <c r="I227" s="13" t="s">
        <v>135</v>
      </c>
      <c r="J227" s="13" t="s">
        <v>136</v>
      </c>
      <c r="K227" s="12" t="s">
        <v>91</v>
      </c>
      <c r="L227" s="13"/>
      <c r="M227" s="23">
        <f>0</f>
        <v>0</v>
      </c>
      <c r="N227" s="13"/>
      <c r="O227" s="23">
        <f>0</f>
        <v>0</v>
      </c>
      <c r="P227" s="23">
        <f>190000000</f>
        <v>190000000</v>
      </c>
      <c r="Q227" s="26" t="s">
        <v>38</v>
      </c>
      <c r="R227" s="26" t="s">
        <v>73</v>
      </c>
      <c r="S227" s="27">
        <f>607377.05</f>
        <v>607377.05</v>
      </c>
      <c r="T227" s="13"/>
      <c r="U227" s="7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</row>
    <row r="228" spans="1:148" ht="15">
      <c r="A228" s="14" t="s">
        <v>30</v>
      </c>
      <c r="B228" s="15"/>
      <c r="C228" s="15"/>
      <c r="D228" s="24">
        <f>0</f>
        <v>0</v>
      </c>
      <c r="E228" s="15"/>
      <c r="F228" s="15"/>
      <c r="G228" s="15"/>
      <c r="H228" s="15"/>
      <c r="I228" s="15"/>
      <c r="J228" s="15"/>
      <c r="K228" s="15"/>
      <c r="L228" s="15"/>
      <c r="M228" s="24">
        <f>0</f>
        <v>0</v>
      </c>
      <c r="N228" s="15"/>
      <c r="O228" s="24">
        <f>0</f>
        <v>0</v>
      </c>
      <c r="P228" s="24">
        <f>0</f>
        <v>0</v>
      </c>
      <c r="Q228" s="28" t="s">
        <v>38</v>
      </c>
      <c r="R228" s="28" t="s">
        <v>79</v>
      </c>
      <c r="S228" s="29">
        <f>1448360.66</f>
        <v>1448360.66</v>
      </c>
      <c r="T228" s="15"/>
      <c r="U228" s="7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</row>
    <row r="229" spans="1:148" ht="15">
      <c r="A229" s="14" t="s">
        <v>30</v>
      </c>
      <c r="B229" s="15"/>
      <c r="C229" s="15"/>
      <c r="D229" s="24">
        <f>0</f>
        <v>0</v>
      </c>
      <c r="E229" s="15"/>
      <c r="F229" s="15"/>
      <c r="G229" s="15"/>
      <c r="H229" s="15"/>
      <c r="I229" s="15"/>
      <c r="J229" s="15"/>
      <c r="K229" s="15"/>
      <c r="L229" s="15"/>
      <c r="M229" s="24">
        <f>0</f>
        <v>0</v>
      </c>
      <c r="N229" s="15"/>
      <c r="O229" s="24">
        <f>0</f>
        <v>0</v>
      </c>
      <c r="P229" s="24">
        <f>0</f>
        <v>0</v>
      </c>
      <c r="Q229" s="28" t="s">
        <v>38</v>
      </c>
      <c r="R229" s="28" t="s">
        <v>94</v>
      </c>
      <c r="S229" s="29">
        <f>1401639.34</f>
        <v>1401639.34</v>
      </c>
      <c r="T229" s="15"/>
      <c r="U229" s="7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</row>
    <row r="230" spans="1:148" ht="15">
      <c r="A230" s="14" t="s">
        <v>30</v>
      </c>
      <c r="B230" s="15"/>
      <c r="C230" s="15"/>
      <c r="D230" s="24">
        <f>0</f>
        <v>0</v>
      </c>
      <c r="E230" s="15"/>
      <c r="F230" s="15"/>
      <c r="G230" s="15"/>
      <c r="H230" s="15"/>
      <c r="I230" s="15"/>
      <c r="J230" s="15"/>
      <c r="K230" s="15"/>
      <c r="L230" s="15"/>
      <c r="M230" s="24">
        <f>0</f>
        <v>0</v>
      </c>
      <c r="N230" s="15"/>
      <c r="O230" s="24">
        <f>0</f>
        <v>0</v>
      </c>
      <c r="P230" s="24">
        <f>0</f>
        <v>0</v>
      </c>
      <c r="Q230" s="28" t="s">
        <v>38</v>
      </c>
      <c r="R230" s="28" t="s">
        <v>111</v>
      </c>
      <c r="S230" s="29">
        <f>1448360.66</f>
        <v>1448360.66</v>
      </c>
      <c r="T230" s="15"/>
      <c r="U230" s="7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</row>
    <row r="231" spans="1:148" ht="15">
      <c r="A231" s="14" t="s">
        <v>30</v>
      </c>
      <c r="B231" s="15"/>
      <c r="C231" s="15"/>
      <c r="D231" s="24">
        <f>0</f>
        <v>0</v>
      </c>
      <c r="E231" s="15"/>
      <c r="F231" s="15"/>
      <c r="G231" s="15"/>
      <c r="H231" s="15"/>
      <c r="I231" s="15"/>
      <c r="J231" s="15"/>
      <c r="K231" s="15"/>
      <c r="L231" s="15"/>
      <c r="M231" s="24">
        <f>0</f>
        <v>0</v>
      </c>
      <c r="N231" s="15"/>
      <c r="O231" s="24">
        <f>0</f>
        <v>0</v>
      </c>
      <c r="P231" s="24">
        <f>0</f>
        <v>0</v>
      </c>
      <c r="Q231" s="28" t="s">
        <v>38</v>
      </c>
      <c r="R231" s="28" t="s">
        <v>112</v>
      </c>
      <c r="S231" s="29">
        <f>1401639.34</f>
        <v>1401639.34</v>
      </c>
      <c r="T231" s="15"/>
      <c r="U231" s="7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</row>
    <row r="232" spans="1:148" ht="89.25">
      <c r="A232" s="11" t="s">
        <v>29</v>
      </c>
      <c r="B232" s="12" t="s">
        <v>137</v>
      </c>
      <c r="C232" s="13" t="s">
        <v>31</v>
      </c>
      <c r="D232" s="23">
        <f>310000000</f>
        <v>310000000</v>
      </c>
      <c r="E232" s="13" t="s">
        <v>138</v>
      </c>
      <c r="F232" s="13" t="s">
        <v>139</v>
      </c>
      <c r="G232" s="13" t="s">
        <v>34</v>
      </c>
      <c r="H232" s="13"/>
      <c r="I232" s="13" t="s">
        <v>135</v>
      </c>
      <c r="J232" s="13" t="s">
        <v>136</v>
      </c>
      <c r="K232" s="12" t="s">
        <v>91</v>
      </c>
      <c r="L232" s="13"/>
      <c r="M232" s="23">
        <f>0</f>
        <v>0</v>
      </c>
      <c r="N232" s="13"/>
      <c r="O232" s="23">
        <f>0</f>
        <v>0</v>
      </c>
      <c r="P232" s="23">
        <f>310000000</f>
        <v>310000000</v>
      </c>
      <c r="Q232" s="26" t="s">
        <v>38</v>
      </c>
      <c r="R232" s="26" t="s">
        <v>73</v>
      </c>
      <c r="S232" s="27">
        <f>990983.61</f>
        <v>990983.61</v>
      </c>
      <c r="T232" s="13"/>
      <c r="U232" s="7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</row>
    <row r="233" spans="1:148" ht="15">
      <c r="A233" s="14" t="s">
        <v>30</v>
      </c>
      <c r="B233" s="15"/>
      <c r="C233" s="15"/>
      <c r="D233" s="24">
        <f>0</f>
        <v>0</v>
      </c>
      <c r="E233" s="15"/>
      <c r="F233" s="15"/>
      <c r="G233" s="15"/>
      <c r="H233" s="15"/>
      <c r="I233" s="15"/>
      <c r="J233" s="15"/>
      <c r="K233" s="15"/>
      <c r="L233" s="15"/>
      <c r="M233" s="24">
        <f>0</f>
        <v>0</v>
      </c>
      <c r="N233" s="15"/>
      <c r="O233" s="24">
        <f>0</f>
        <v>0</v>
      </c>
      <c r="P233" s="24">
        <f>0</f>
        <v>0</v>
      </c>
      <c r="Q233" s="28" t="s">
        <v>38</v>
      </c>
      <c r="R233" s="28" t="s">
        <v>79</v>
      </c>
      <c r="S233" s="29">
        <f>2363114.75</f>
        <v>2363114.75</v>
      </c>
      <c r="T233" s="15"/>
      <c r="U233" s="7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</row>
    <row r="234" spans="1:148" ht="15">
      <c r="A234" s="14" t="s">
        <v>30</v>
      </c>
      <c r="B234" s="15"/>
      <c r="C234" s="15"/>
      <c r="D234" s="24">
        <f>0</f>
        <v>0</v>
      </c>
      <c r="E234" s="15"/>
      <c r="F234" s="15"/>
      <c r="G234" s="15"/>
      <c r="H234" s="15"/>
      <c r="I234" s="15"/>
      <c r="J234" s="15"/>
      <c r="K234" s="15"/>
      <c r="L234" s="15"/>
      <c r="M234" s="24">
        <f>0</f>
        <v>0</v>
      </c>
      <c r="N234" s="15"/>
      <c r="O234" s="24">
        <f>0</f>
        <v>0</v>
      </c>
      <c r="P234" s="24">
        <f>0</f>
        <v>0</v>
      </c>
      <c r="Q234" s="28" t="s">
        <v>38</v>
      </c>
      <c r="R234" s="28" t="s">
        <v>94</v>
      </c>
      <c r="S234" s="29">
        <f>2286885.25</f>
        <v>2286885.25</v>
      </c>
      <c r="T234" s="15"/>
      <c r="U234" s="7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</row>
    <row r="235" spans="1:148" ht="15">
      <c r="A235" s="14" t="s">
        <v>30</v>
      </c>
      <c r="B235" s="15"/>
      <c r="C235" s="15"/>
      <c r="D235" s="24">
        <f>0</f>
        <v>0</v>
      </c>
      <c r="E235" s="15"/>
      <c r="F235" s="15"/>
      <c r="G235" s="15"/>
      <c r="H235" s="15"/>
      <c r="I235" s="15"/>
      <c r="J235" s="15"/>
      <c r="K235" s="15"/>
      <c r="L235" s="15"/>
      <c r="M235" s="24">
        <f>0</f>
        <v>0</v>
      </c>
      <c r="N235" s="15"/>
      <c r="O235" s="24">
        <f>0</f>
        <v>0</v>
      </c>
      <c r="P235" s="24">
        <f>0</f>
        <v>0</v>
      </c>
      <c r="Q235" s="28" t="s">
        <v>38</v>
      </c>
      <c r="R235" s="28" t="s">
        <v>111</v>
      </c>
      <c r="S235" s="29">
        <f>2363114.75</f>
        <v>2363114.75</v>
      </c>
      <c r="T235" s="15"/>
      <c r="U235" s="7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</row>
    <row r="236" spans="1:148" ht="15">
      <c r="A236" s="14" t="s">
        <v>30</v>
      </c>
      <c r="B236" s="15"/>
      <c r="C236" s="15"/>
      <c r="D236" s="24">
        <f>0</f>
        <v>0</v>
      </c>
      <c r="E236" s="15"/>
      <c r="F236" s="15"/>
      <c r="G236" s="15"/>
      <c r="H236" s="15"/>
      <c r="I236" s="15"/>
      <c r="J236" s="15"/>
      <c r="K236" s="15"/>
      <c r="L236" s="15"/>
      <c r="M236" s="24">
        <f>0</f>
        <v>0</v>
      </c>
      <c r="N236" s="15"/>
      <c r="O236" s="24">
        <f>0</f>
        <v>0</v>
      </c>
      <c r="P236" s="24">
        <f>0</f>
        <v>0</v>
      </c>
      <c r="Q236" s="28" t="s">
        <v>38</v>
      </c>
      <c r="R236" s="28" t="s">
        <v>112</v>
      </c>
      <c r="S236" s="29">
        <f>2286885.25</f>
        <v>2286885.25</v>
      </c>
      <c r="T236" s="15"/>
      <c r="U236" s="7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</row>
    <row r="237" spans="1:148" ht="89.25">
      <c r="A237" s="11" t="s">
        <v>29</v>
      </c>
      <c r="B237" s="12" t="s">
        <v>140</v>
      </c>
      <c r="C237" s="13" t="s">
        <v>31</v>
      </c>
      <c r="D237" s="23">
        <f>50000000</f>
        <v>50000000</v>
      </c>
      <c r="E237" s="13" t="s">
        <v>138</v>
      </c>
      <c r="F237" s="13" t="s">
        <v>141</v>
      </c>
      <c r="G237" s="13" t="s">
        <v>34</v>
      </c>
      <c r="H237" s="13"/>
      <c r="I237" s="13" t="s">
        <v>142</v>
      </c>
      <c r="J237" s="13" t="s">
        <v>143</v>
      </c>
      <c r="K237" s="12" t="s">
        <v>91</v>
      </c>
      <c r="L237" s="13"/>
      <c r="M237" s="23">
        <f>0</f>
        <v>0</v>
      </c>
      <c r="N237" s="13"/>
      <c r="O237" s="23">
        <f>0</f>
        <v>0</v>
      </c>
      <c r="P237" s="23">
        <f>50000000</f>
        <v>50000000</v>
      </c>
      <c r="Q237" s="26" t="s">
        <v>38</v>
      </c>
      <c r="R237" s="26" t="s">
        <v>79</v>
      </c>
      <c r="S237" s="27">
        <f>196721.31</f>
        <v>196721.31</v>
      </c>
      <c r="T237" s="13"/>
      <c r="U237" s="7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</row>
    <row r="238" spans="1:148" ht="15">
      <c r="A238" s="14" t="s">
        <v>30</v>
      </c>
      <c r="B238" s="15"/>
      <c r="C238" s="15"/>
      <c r="D238" s="24">
        <f>0</f>
        <v>0</v>
      </c>
      <c r="E238" s="15"/>
      <c r="F238" s="15"/>
      <c r="G238" s="15"/>
      <c r="H238" s="15"/>
      <c r="I238" s="15"/>
      <c r="J238" s="15"/>
      <c r="K238" s="15"/>
      <c r="L238" s="15"/>
      <c r="M238" s="24">
        <f>0</f>
        <v>0</v>
      </c>
      <c r="N238" s="15"/>
      <c r="O238" s="24">
        <f>0</f>
        <v>0</v>
      </c>
      <c r="P238" s="24">
        <f>0</f>
        <v>0</v>
      </c>
      <c r="Q238" s="28" t="s">
        <v>38</v>
      </c>
      <c r="R238" s="28" t="s">
        <v>94</v>
      </c>
      <c r="S238" s="29">
        <f>368852.46</f>
        <v>368852.46</v>
      </c>
      <c r="T238" s="15"/>
      <c r="U238" s="7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</row>
    <row r="239" spans="1:148" ht="15">
      <c r="A239" s="14" t="s">
        <v>30</v>
      </c>
      <c r="B239" s="15"/>
      <c r="C239" s="15"/>
      <c r="D239" s="24">
        <f>0</f>
        <v>0</v>
      </c>
      <c r="E239" s="15"/>
      <c r="F239" s="15"/>
      <c r="G239" s="15"/>
      <c r="H239" s="15"/>
      <c r="I239" s="15"/>
      <c r="J239" s="15"/>
      <c r="K239" s="15"/>
      <c r="L239" s="15"/>
      <c r="M239" s="24">
        <f>0</f>
        <v>0</v>
      </c>
      <c r="N239" s="15"/>
      <c r="O239" s="24">
        <f>0</f>
        <v>0</v>
      </c>
      <c r="P239" s="24">
        <f>0</f>
        <v>0</v>
      </c>
      <c r="Q239" s="28" t="s">
        <v>38</v>
      </c>
      <c r="R239" s="28" t="s">
        <v>111</v>
      </c>
      <c r="S239" s="29">
        <f>381147.54</f>
        <v>381147.54</v>
      </c>
      <c r="T239" s="15"/>
      <c r="U239" s="7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</row>
    <row r="240" spans="1:148" ht="15">
      <c r="A240" s="14" t="s">
        <v>30</v>
      </c>
      <c r="B240" s="15"/>
      <c r="C240" s="15"/>
      <c r="D240" s="24">
        <f>0</f>
        <v>0</v>
      </c>
      <c r="E240" s="15"/>
      <c r="F240" s="15"/>
      <c r="G240" s="15"/>
      <c r="H240" s="15"/>
      <c r="I240" s="15"/>
      <c r="J240" s="15"/>
      <c r="K240" s="15"/>
      <c r="L240" s="15"/>
      <c r="M240" s="24">
        <f>0</f>
        <v>0</v>
      </c>
      <c r="N240" s="15"/>
      <c r="O240" s="24">
        <f>0</f>
        <v>0</v>
      </c>
      <c r="P240" s="24">
        <f>0</f>
        <v>0</v>
      </c>
      <c r="Q240" s="28" t="s">
        <v>38</v>
      </c>
      <c r="R240" s="28" t="s">
        <v>112</v>
      </c>
      <c r="S240" s="29">
        <f>368852.46</f>
        <v>368852.46</v>
      </c>
      <c r="T240" s="15"/>
      <c r="U240" s="7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</row>
    <row r="241" spans="1:148" ht="89.25">
      <c r="A241" s="11" t="s">
        <v>29</v>
      </c>
      <c r="B241" s="12" t="s">
        <v>144</v>
      </c>
      <c r="C241" s="13" t="s">
        <v>31</v>
      </c>
      <c r="D241" s="23">
        <f>300000000</f>
        <v>300000000</v>
      </c>
      <c r="E241" s="13" t="s">
        <v>138</v>
      </c>
      <c r="F241" s="13" t="s">
        <v>145</v>
      </c>
      <c r="G241" s="13" t="s">
        <v>34</v>
      </c>
      <c r="H241" s="13"/>
      <c r="I241" s="13" t="s">
        <v>142</v>
      </c>
      <c r="J241" s="13" t="s">
        <v>143</v>
      </c>
      <c r="K241" s="12" t="s">
        <v>146</v>
      </c>
      <c r="L241" s="13"/>
      <c r="M241" s="23">
        <f>0</f>
        <v>0</v>
      </c>
      <c r="N241" s="13"/>
      <c r="O241" s="23">
        <f>0</f>
        <v>0</v>
      </c>
      <c r="P241" s="23">
        <f>300000000</f>
        <v>300000000</v>
      </c>
      <c r="Q241" s="26" t="s">
        <v>38</v>
      </c>
      <c r="R241" s="26" t="s">
        <v>79</v>
      </c>
      <c r="S241" s="27">
        <f>1120000</f>
        <v>1120000</v>
      </c>
      <c r="T241" s="13"/>
      <c r="U241" s="7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</row>
    <row r="242" spans="1:148" ht="15">
      <c r="A242" s="14" t="s">
        <v>30</v>
      </c>
      <c r="B242" s="15"/>
      <c r="C242" s="15"/>
      <c r="D242" s="24">
        <f>0</f>
        <v>0</v>
      </c>
      <c r="E242" s="15"/>
      <c r="F242" s="15"/>
      <c r="G242" s="15"/>
      <c r="H242" s="15"/>
      <c r="I242" s="15"/>
      <c r="J242" s="15"/>
      <c r="K242" s="15"/>
      <c r="L242" s="15"/>
      <c r="M242" s="24">
        <f>0</f>
        <v>0</v>
      </c>
      <c r="N242" s="15"/>
      <c r="O242" s="24">
        <f>0</f>
        <v>0</v>
      </c>
      <c r="P242" s="24">
        <f>0</f>
        <v>0</v>
      </c>
      <c r="Q242" s="28" t="s">
        <v>38</v>
      </c>
      <c r="R242" s="28" t="s">
        <v>94</v>
      </c>
      <c r="S242" s="29">
        <f>2100000</f>
        <v>2100000</v>
      </c>
      <c r="T242" s="15"/>
      <c r="U242" s="7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</row>
    <row r="243" spans="1:148" ht="15">
      <c r="A243" s="14" t="s">
        <v>30</v>
      </c>
      <c r="B243" s="15"/>
      <c r="C243" s="15"/>
      <c r="D243" s="24">
        <f>0</f>
        <v>0</v>
      </c>
      <c r="E243" s="15"/>
      <c r="F243" s="15"/>
      <c r="G243" s="15"/>
      <c r="H243" s="15"/>
      <c r="I243" s="15"/>
      <c r="J243" s="15"/>
      <c r="K243" s="15"/>
      <c r="L243" s="15"/>
      <c r="M243" s="24">
        <f>0</f>
        <v>0</v>
      </c>
      <c r="N243" s="15"/>
      <c r="O243" s="24">
        <f>0</f>
        <v>0</v>
      </c>
      <c r="P243" s="24">
        <f>0</f>
        <v>0</v>
      </c>
      <c r="Q243" s="28" t="s">
        <v>38</v>
      </c>
      <c r="R243" s="28" t="s">
        <v>111</v>
      </c>
      <c r="S243" s="29">
        <f>2170000</f>
        <v>2170000</v>
      </c>
      <c r="T243" s="15"/>
      <c r="U243" s="7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</row>
    <row r="244" spans="1:148" ht="15">
      <c r="A244" s="14" t="s">
        <v>30</v>
      </c>
      <c r="B244" s="15"/>
      <c r="C244" s="15"/>
      <c r="D244" s="24">
        <f>0</f>
        <v>0</v>
      </c>
      <c r="E244" s="15"/>
      <c r="F244" s="15"/>
      <c r="G244" s="15"/>
      <c r="H244" s="15"/>
      <c r="I244" s="15"/>
      <c r="J244" s="15"/>
      <c r="K244" s="15"/>
      <c r="L244" s="15"/>
      <c r="M244" s="24">
        <f>0</f>
        <v>0</v>
      </c>
      <c r="N244" s="15"/>
      <c r="O244" s="24">
        <f>0</f>
        <v>0</v>
      </c>
      <c r="P244" s="24">
        <f>0</f>
        <v>0</v>
      </c>
      <c r="Q244" s="28" t="s">
        <v>38</v>
      </c>
      <c r="R244" s="28" t="s">
        <v>112</v>
      </c>
      <c r="S244" s="29">
        <f>2100000</f>
        <v>2100000</v>
      </c>
      <c r="T244" s="15"/>
      <c r="U244" s="7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</row>
    <row r="245" spans="1:148" ht="89.25">
      <c r="A245" s="11" t="s">
        <v>29</v>
      </c>
      <c r="B245" s="12" t="s">
        <v>147</v>
      </c>
      <c r="C245" s="13" t="s">
        <v>31</v>
      </c>
      <c r="D245" s="23">
        <f>150000000</f>
        <v>150000000</v>
      </c>
      <c r="E245" s="13" t="s">
        <v>138</v>
      </c>
      <c r="F245" s="13" t="s">
        <v>148</v>
      </c>
      <c r="G245" s="13" t="s">
        <v>34</v>
      </c>
      <c r="H245" s="13"/>
      <c r="I245" s="13" t="s">
        <v>142</v>
      </c>
      <c r="J245" s="13" t="s">
        <v>143</v>
      </c>
      <c r="K245" s="12" t="s">
        <v>146</v>
      </c>
      <c r="L245" s="13"/>
      <c r="M245" s="23">
        <f>0</f>
        <v>0</v>
      </c>
      <c r="N245" s="13"/>
      <c r="O245" s="23">
        <f>0</f>
        <v>0</v>
      </c>
      <c r="P245" s="23">
        <f>150000000</f>
        <v>150000000</v>
      </c>
      <c r="Q245" s="26" t="s">
        <v>38</v>
      </c>
      <c r="R245" s="26" t="s">
        <v>79</v>
      </c>
      <c r="S245" s="27">
        <f>560000</f>
        <v>560000</v>
      </c>
      <c r="T245" s="13"/>
      <c r="U245" s="7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</row>
    <row r="246" spans="1:148" ht="15">
      <c r="A246" s="14" t="s">
        <v>30</v>
      </c>
      <c r="B246" s="15"/>
      <c r="C246" s="15"/>
      <c r="D246" s="24">
        <f>0</f>
        <v>0</v>
      </c>
      <c r="E246" s="15"/>
      <c r="F246" s="15"/>
      <c r="G246" s="15"/>
      <c r="H246" s="15"/>
      <c r="I246" s="15"/>
      <c r="J246" s="15"/>
      <c r="K246" s="15"/>
      <c r="L246" s="15"/>
      <c r="M246" s="24">
        <f>0</f>
        <v>0</v>
      </c>
      <c r="N246" s="15"/>
      <c r="O246" s="24">
        <f>0</f>
        <v>0</v>
      </c>
      <c r="P246" s="24">
        <f>0</f>
        <v>0</v>
      </c>
      <c r="Q246" s="28" t="s">
        <v>38</v>
      </c>
      <c r="R246" s="28" t="s">
        <v>94</v>
      </c>
      <c r="S246" s="29">
        <f>1050000</f>
        <v>1050000</v>
      </c>
      <c r="T246" s="15"/>
      <c r="U246" s="7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</row>
    <row r="247" spans="1:148" ht="15">
      <c r="A247" s="14" t="s">
        <v>30</v>
      </c>
      <c r="B247" s="15"/>
      <c r="C247" s="15"/>
      <c r="D247" s="24">
        <f>0</f>
        <v>0</v>
      </c>
      <c r="E247" s="15"/>
      <c r="F247" s="15"/>
      <c r="G247" s="15"/>
      <c r="H247" s="15"/>
      <c r="I247" s="15"/>
      <c r="J247" s="15"/>
      <c r="K247" s="15"/>
      <c r="L247" s="15"/>
      <c r="M247" s="24">
        <f>0</f>
        <v>0</v>
      </c>
      <c r="N247" s="15"/>
      <c r="O247" s="24">
        <f>0</f>
        <v>0</v>
      </c>
      <c r="P247" s="24">
        <f>0</f>
        <v>0</v>
      </c>
      <c r="Q247" s="28" t="s">
        <v>38</v>
      </c>
      <c r="R247" s="28" t="s">
        <v>111</v>
      </c>
      <c r="S247" s="29">
        <f>1085000</f>
        <v>1085000</v>
      </c>
      <c r="T247" s="15"/>
      <c r="U247" s="7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</row>
    <row r="248" spans="1:148" ht="15">
      <c r="A248" s="14" t="s">
        <v>30</v>
      </c>
      <c r="B248" s="15"/>
      <c r="C248" s="15"/>
      <c r="D248" s="24">
        <f>0</f>
        <v>0</v>
      </c>
      <c r="E248" s="15"/>
      <c r="F248" s="15"/>
      <c r="G248" s="15"/>
      <c r="H248" s="15"/>
      <c r="I248" s="15"/>
      <c r="J248" s="15"/>
      <c r="K248" s="15"/>
      <c r="L248" s="15"/>
      <c r="M248" s="24">
        <f>0</f>
        <v>0</v>
      </c>
      <c r="N248" s="15"/>
      <c r="O248" s="24">
        <f>0</f>
        <v>0</v>
      </c>
      <c r="P248" s="24">
        <f>0</f>
        <v>0</v>
      </c>
      <c r="Q248" s="28" t="s">
        <v>38</v>
      </c>
      <c r="R248" s="28" t="s">
        <v>112</v>
      </c>
      <c r="S248" s="29">
        <f>1050000</f>
        <v>1050000</v>
      </c>
      <c r="T248" s="15"/>
      <c r="U248" s="7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</row>
    <row r="249" spans="1:148" ht="89.25">
      <c r="A249" s="11" t="s">
        <v>29</v>
      </c>
      <c r="B249" s="12" t="s">
        <v>149</v>
      </c>
      <c r="C249" s="13" t="s">
        <v>31</v>
      </c>
      <c r="D249" s="23">
        <f>150000000</f>
        <v>150000000</v>
      </c>
      <c r="E249" s="13" t="s">
        <v>138</v>
      </c>
      <c r="F249" s="13" t="s">
        <v>150</v>
      </c>
      <c r="G249" s="13" t="s">
        <v>34</v>
      </c>
      <c r="H249" s="13"/>
      <c r="I249" s="13" t="s">
        <v>151</v>
      </c>
      <c r="J249" s="13" t="s">
        <v>152</v>
      </c>
      <c r="K249" s="12" t="s">
        <v>146</v>
      </c>
      <c r="L249" s="13"/>
      <c r="M249" s="23">
        <f>0</f>
        <v>0</v>
      </c>
      <c r="N249" s="13"/>
      <c r="O249" s="23">
        <f>0</f>
        <v>0</v>
      </c>
      <c r="P249" s="23">
        <f>150000000</f>
        <v>150000000</v>
      </c>
      <c r="Q249" s="26" t="s">
        <v>38</v>
      </c>
      <c r="R249" s="26" t="s">
        <v>79</v>
      </c>
      <c r="S249" s="27">
        <f>280000</f>
        <v>280000</v>
      </c>
      <c r="T249" s="13"/>
      <c r="U249" s="7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</row>
    <row r="250" spans="1:148" ht="15">
      <c r="A250" s="14" t="s">
        <v>30</v>
      </c>
      <c r="B250" s="15"/>
      <c r="C250" s="15"/>
      <c r="D250" s="24">
        <f>0</f>
        <v>0</v>
      </c>
      <c r="E250" s="15"/>
      <c r="F250" s="15"/>
      <c r="G250" s="15"/>
      <c r="H250" s="15"/>
      <c r="I250" s="15"/>
      <c r="J250" s="15"/>
      <c r="K250" s="15"/>
      <c r="L250" s="15"/>
      <c r="M250" s="24">
        <f>0</f>
        <v>0</v>
      </c>
      <c r="N250" s="15"/>
      <c r="O250" s="24">
        <f>0</f>
        <v>0</v>
      </c>
      <c r="P250" s="24">
        <f>0</f>
        <v>0</v>
      </c>
      <c r="Q250" s="28" t="s">
        <v>38</v>
      </c>
      <c r="R250" s="28" t="s">
        <v>94</v>
      </c>
      <c r="S250" s="29">
        <f>1050000</f>
        <v>1050000</v>
      </c>
      <c r="T250" s="15"/>
      <c r="U250" s="7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</row>
    <row r="251" spans="1:148" ht="15">
      <c r="A251" s="14" t="s">
        <v>30</v>
      </c>
      <c r="B251" s="15"/>
      <c r="C251" s="15"/>
      <c r="D251" s="24">
        <f>0</f>
        <v>0</v>
      </c>
      <c r="E251" s="15"/>
      <c r="F251" s="15"/>
      <c r="G251" s="15"/>
      <c r="H251" s="15"/>
      <c r="I251" s="15"/>
      <c r="J251" s="15"/>
      <c r="K251" s="15"/>
      <c r="L251" s="15"/>
      <c r="M251" s="24">
        <f>0</f>
        <v>0</v>
      </c>
      <c r="N251" s="15"/>
      <c r="O251" s="24">
        <f>0</f>
        <v>0</v>
      </c>
      <c r="P251" s="24">
        <f>0</f>
        <v>0</v>
      </c>
      <c r="Q251" s="28" t="s">
        <v>38</v>
      </c>
      <c r="R251" s="28" t="s">
        <v>111</v>
      </c>
      <c r="S251" s="29">
        <f>1085000</f>
        <v>1085000</v>
      </c>
      <c r="T251" s="15"/>
      <c r="U251" s="7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</row>
    <row r="252" spans="1:148" ht="15">
      <c r="A252" s="14" t="s">
        <v>30</v>
      </c>
      <c r="B252" s="15"/>
      <c r="C252" s="15"/>
      <c r="D252" s="24">
        <f>0</f>
        <v>0</v>
      </c>
      <c r="E252" s="15"/>
      <c r="F252" s="15"/>
      <c r="G252" s="15"/>
      <c r="H252" s="15"/>
      <c r="I252" s="15"/>
      <c r="J252" s="15"/>
      <c r="K252" s="15"/>
      <c r="L252" s="15"/>
      <c r="M252" s="24">
        <f>0</f>
        <v>0</v>
      </c>
      <c r="N252" s="15"/>
      <c r="O252" s="24">
        <f>0</f>
        <v>0</v>
      </c>
      <c r="P252" s="24">
        <f>0</f>
        <v>0</v>
      </c>
      <c r="Q252" s="28" t="s">
        <v>38</v>
      </c>
      <c r="R252" s="28" t="s">
        <v>112</v>
      </c>
      <c r="S252" s="29">
        <f>1050000</f>
        <v>1050000</v>
      </c>
      <c r="T252" s="15"/>
      <c r="U252" s="7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</row>
    <row r="253" spans="1:148" ht="89.25">
      <c r="A253" s="11" t="s">
        <v>29</v>
      </c>
      <c r="B253" s="12" t="s">
        <v>153</v>
      </c>
      <c r="C253" s="13" t="s">
        <v>31</v>
      </c>
      <c r="D253" s="23">
        <f>300000000</f>
        <v>300000000</v>
      </c>
      <c r="E253" s="13" t="s">
        <v>138</v>
      </c>
      <c r="F253" s="13" t="s">
        <v>154</v>
      </c>
      <c r="G253" s="13" t="s">
        <v>34</v>
      </c>
      <c r="H253" s="13"/>
      <c r="I253" s="13" t="s">
        <v>151</v>
      </c>
      <c r="J253" s="13" t="s">
        <v>152</v>
      </c>
      <c r="K253" s="12">
        <v>8.95</v>
      </c>
      <c r="L253" s="13"/>
      <c r="M253" s="23">
        <f>0</f>
        <v>0</v>
      </c>
      <c r="N253" s="13"/>
      <c r="O253" s="23">
        <f>0</f>
        <v>0</v>
      </c>
      <c r="P253" s="23">
        <f>300000000</f>
        <v>300000000</v>
      </c>
      <c r="Q253" s="26" t="s">
        <v>38</v>
      </c>
      <c r="R253" s="26" t="s">
        <v>79</v>
      </c>
      <c r="S253" s="27">
        <f>586885.25</f>
        <v>586885.25</v>
      </c>
      <c r="T253" s="13"/>
      <c r="U253" s="7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</row>
    <row r="254" spans="1:148" ht="15">
      <c r="A254" s="14" t="s">
        <v>30</v>
      </c>
      <c r="B254" s="15"/>
      <c r="C254" s="15"/>
      <c r="D254" s="24">
        <f>0</f>
        <v>0</v>
      </c>
      <c r="E254" s="15"/>
      <c r="F254" s="15"/>
      <c r="G254" s="15"/>
      <c r="H254" s="15"/>
      <c r="I254" s="15"/>
      <c r="J254" s="15"/>
      <c r="K254" s="15"/>
      <c r="L254" s="15"/>
      <c r="M254" s="24">
        <f>0</f>
        <v>0</v>
      </c>
      <c r="N254" s="15"/>
      <c r="O254" s="24">
        <f>0</f>
        <v>0</v>
      </c>
      <c r="P254" s="24">
        <f>0</f>
        <v>0</v>
      </c>
      <c r="Q254" s="28" t="s">
        <v>38</v>
      </c>
      <c r="R254" s="28" t="s">
        <v>94</v>
      </c>
      <c r="S254" s="29">
        <f>2200819.67</f>
        <v>2200819.67</v>
      </c>
      <c r="T254" s="15"/>
      <c r="U254" s="7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</row>
    <row r="255" spans="1:148" ht="15">
      <c r="A255" s="14" t="s">
        <v>30</v>
      </c>
      <c r="B255" s="15"/>
      <c r="C255" s="15"/>
      <c r="D255" s="24">
        <f>0</f>
        <v>0</v>
      </c>
      <c r="E255" s="15"/>
      <c r="F255" s="15"/>
      <c r="G255" s="15"/>
      <c r="H255" s="15"/>
      <c r="I255" s="15"/>
      <c r="J255" s="15"/>
      <c r="K255" s="15"/>
      <c r="L255" s="15"/>
      <c r="M255" s="24">
        <f>0</f>
        <v>0</v>
      </c>
      <c r="N255" s="15"/>
      <c r="O255" s="24">
        <f>0</f>
        <v>0</v>
      </c>
      <c r="P255" s="24">
        <f>0</f>
        <v>0</v>
      </c>
      <c r="Q255" s="28" t="s">
        <v>38</v>
      </c>
      <c r="R255" s="28" t="s">
        <v>111</v>
      </c>
      <c r="S255" s="29">
        <f>2274180.33</f>
        <v>2274180.33</v>
      </c>
      <c r="T255" s="15"/>
      <c r="U255" s="7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</row>
    <row r="256" spans="1:148" ht="15">
      <c r="A256" s="14" t="s">
        <v>30</v>
      </c>
      <c r="B256" s="15"/>
      <c r="C256" s="15"/>
      <c r="D256" s="24">
        <f>0</f>
        <v>0</v>
      </c>
      <c r="E256" s="15"/>
      <c r="F256" s="15"/>
      <c r="G256" s="15"/>
      <c r="H256" s="15"/>
      <c r="I256" s="15"/>
      <c r="J256" s="15"/>
      <c r="K256" s="15"/>
      <c r="L256" s="15"/>
      <c r="M256" s="24">
        <f>0</f>
        <v>0</v>
      </c>
      <c r="N256" s="15"/>
      <c r="O256" s="24">
        <f>0</f>
        <v>0</v>
      </c>
      <c r="P256" s="24">
        <f>0</f>
        <v>0</v>
      </c>
      <c r="Q256" s="28" t="s">
        <v>38</v>
      </c>
      <c r="R256" s="28" t="s">
        <v>112</v>
      </c>
      <c r="S256" s="29">
        <f>2200819.67</f>
        <v>2200819.67</v>
      </c>
      <c r="T256" s="15"/>
      <c r="U256" s="7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</row>
    <row r="257" spans="1:148" ht="89.25">
      <c r="A257" s="11" t="s">
        <v>29</v>
      </c>
      <c r="B257" s="12" t="s">
        <v>155</v>
      </c>
      <c r="C257" s="13" t="s">
        <v>31</v>
      </c>
      <c r="D257" s="23">
        <f>170000000</f>
        <v>170000000</v>
      </c>
      <c r="E257" s="13" t="s">
        <v>138</v>
      </c>
      <c r="F257" s="13" t="s">
        <v>156</v>
      </c>
      <c r="G257" s="13" t="s">
        <v>34</v>
      </c>
      <c r="H257" s="13"/>
      <c r="I257" s="13" t="s">
        <v>151</v>
      </c>
      <c r="J257" s="13" t="s">
        <v>152</v>
      </c>
      <c r="K257" s="12" t="s">
        <v>157</v>
      </c>
      <c r="L257" s="13"/>
      <c r="M257" s="23">
        <f>0</f>
        <v>0</v>
      </c>
      <c r="N257" s="13"/>
      <c r="O257" s="23">
        <f>0</f>
        <v>0</v>
      </c>
      <c r="P257" s="23">
        <f>170000000</f>
        <v>170000000</v>
      </c>
      <c r="Q257" s="26" t="s">
        <v>38</v>
      </c>
      <c r="R257" s="26" t="s">
        <v>79</v>
      </c>
      <c r="S257" s="27">
        <f>332568.31</f>
        <v>332568.31</v>
      </c>
      <c r="T257" s="13"/>
      <c r="U257" s="7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</row>
    <row r="258" spans="1:148" ht="15">
      <c r="A258" s="14" t="s">
        <v>30</v>
      </c>
      <c r="B258" s="15"/>
      <c r="C258" s="15"/>
      <c r="D258" s="24">
        <f>0</f>
        <v>0</v>
      </c>
      <c r="E258" s="15"/>
      <c r="F258" s="15"/>
      <c r="G258" s="15"/>
      <c r="H258" s="15"/>
      <c r="I258" s="15"/>
      <c r="J258" s="15"/>
      <c r="K258" s="15"/>
      <c r="L258" s="15"/>
      <c r="M258" s="24">
        <f>0</f>
        <v>0</v>
      </c>
      <c r="N258" s="15"/>
      <c r="O258" s="24">
        <f>0</f>
        <v>0</v>
      </c>
      <c r="P258" s="24">
        <f>0</f>
        <v>0</v>
      </c>
      <c r="Q258" s="28" t="s">
        <v>38</v>
      </c>
      <c r="R258" s="28" t="s">
        <v>94</v>
      </c>
      <c r="S258" s="29">
        <f>1247131.15</f>
        <v>1247131.15</v>
      </c>
      <c r="T258" s="15"/>
      <c r="U258" s="7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</row>
    <row r="259" spans="1:148" ht="15">
      <c r="A259" s="14" t="s">
        <v>30</v>
      </c>
      <c r="B259" s="15"/>
      <c r="C259" s="15"/>
      <c r="D259" s="24">
        <f>0</f>
        <v>0</v>
      </c>
      <c r="E259" s="15"/>
      <c r="F259" s="15"/>
      <c r="G259" s="15"/>
      <c r="H259" s="15"/>
      <c r="I259" s="15"/>
      <c r="J259" s="15"/>
      <c r="K259" s="15"/>
      <c r="L259" s="15"/>
      <c r="M259" s="24">
        <f>0</f>
        <v>0</v>
      </c>
      <c r="N259" s="15"/>
      <c r="O259" s="24">
        <f>0</f>
        <v>0</v>
      </c>
      <c r="P259" s="24">
        <f>0</f>
        <v>0</v>
      </c>
      <c r="Q259" s="28" t="s">
        <v>38</v>
      </c>
      <c r="R259" s="28" t="s">
        <v>111</v>
      </c>
      <c r="S259" s="29">
        <f>1288702.19</f>
        <v>1288702.19</v>
      </c>
      <c r="T259" s="15"/>
      <c r="U259" s="7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</row>
    <row r="260" spans="1:148" ht="15">
      <c r="A260" s="14" t="s">
        <v>30</v>
      </c>
      <c r="B260" s="15"/>
      <c r="C260" s="15"/>
      <c r="D260" s="24">
        <f>0</f>
        <v>0</v>
      </c>
      <c r="E260" s="15"/>
      <c r="F260" s="15"/>
      <c r="G260" s="15"/>
      <c r="H260" s="15"/>
      <c r="I260" s="15"/>
      <c r="J260" s="15"/>
      <c r="K260" s="15"/>
      <c r="L260" s="15"/>
      <c r="M260" s="24">
        <f>0</f>
        <v>0</v>
      </c>
      <c r="N260" s="15"/>
      <c r="O260" s="24">
        <f>0</f>
        <v>0</v>
      </c>
      <c r="P260" s="24">
        <f>0</f>
        <v>0</v>
      </c>
      <c r="Q260" s="28" t="s">
        <v>38</v>
      </c>
      <c r="R260" s="28" t="s">
        <v>112</v>
      </c>
      <c r="S260" s="29">
        <f>1247131.15</f>
        <v>1247131.15</v>
      </c>
      <c r="T260" s="15"/>
      <c r="U260" s="7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</row>
    <row r="261" spans="1:148" ht="89.25">
      <c r="A261" s="11" t="s">
        <v>29</v>
      </c>
      <c r="B261" s="12" t="s">
        <v>158</v>
      </c>
      <c r="C261" s="13" t="s">
        <v>31</v>
      </c>
      <c r="D261" s="23">
        <f>130000000</f>
        <v>130000000</v>
      </c>
      <c r="E261" s="13" t="s">
        <v>138</v>
      </c>
      <c r="F261" s="13" t="s">
        <v>159</v>
      </c>
      <c r="G261" s="13" t="s">
        <v>34</v>
      </c>
      <c r="H261" s="13"/>
      <c r="I261" s="13" t="s">
        <v>79</v>
      </c>
      <c r="J261" s="13" t="s">
        <v>160</v>
      </c>
      <c r="K261" s="12" t="s">
        <v>157</v>
      </c>
      <c r="L261" s="13"/>
      <c r="M261" s="23">
        <f>0</f>
        <v>0</v>
      </c>
      <c r="N261" s="13"/>
      <c r="O261" s="23">
        <f>0</f>
        <v>0</v>
      </c>
      <c r="P261" s="23">
        <f>130000000</f>
        <v>130000000</v>
      </c>
      <c r="Q261" s="26" t="s">
        <v>38</v>
      </c>
      <c r="R261" s="26" t="s">
        <v>161</v>
      </c>
      <c r="S261" s="27">
        <f>31789.62</f>
        <v>31789.62</v>
      </c>
      <c r="T261" s="13"/>
      <c r="U261" s="7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</row>
    <row r="262" spans="1:148" ht="15">
      <c r="A262" s="14" t="s">
        <v>30</v>
      </c>
      <c r="B262" s="15"/>
      <c r="C262" s="15"/>
      <c r="D262" s="24">
        <f>0</f>
        <v>0</v>
      </c>
      <c r="E262" s="15"/>
      <c r="F262" s="15"/>
      <c r="G262" s="15"/>
      <c r="H262" s="15"/>
      <c r="I262" s="15"/>
      <c r="J262" s="15"/>
      <c r="K262" s="15"/>
      <c r="L262" s="15"/>
      <c r="M262" s="24">
        <f>0</f>
        <v>0</v>
      </c>
      <c r="N262" s="15"/>
      <c r="O262" s="24">
        <f>0</f>
        <v>0</v>
      </c>
      <c r="P262" s="24">
        <f>0</f>
        <v>0</v>
      </c>
      <c r="Q262" s="28" t="s">
        <v>38</v>
      </c>
      <c r="R262" s="28" t="s">
        <v>94</v>
      </c>
      <c r="S262" s="29">
        <f>953688.52</f>
        <v>953688.52</v>
      </c>
      <c r="T262" s="15"/>
      <c r="U262" s="7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</row>
    <row r="263" spans="1:148" ht="15">
      <c r="A263" s="14" t="s">
        <v>30</v>
      </c>
      <c r="B263" s="15"/>
      <c r="C263" s="15"/>
      <c r="D263" s="24">
        <f>0</f>
        <v>0</v>
      </c>
      <c r="E263" s="15"/>
      <c r="F263" s="15"/>
      <c r="G263" s="15"/>
      <c r="H263" s="15"/>
      <c r="I263" s="15"/>
      <c r="J263" s="15"/>
      <c r="K263" s="15"/>
      <c r="L263" s="15"/>
      <c r="M263" s="24">
        <f>0</f>
        <v>0</v>
      </c>
      <c r="N263" s="15"/>
      <c r="O263" s="24">
        <f>0</f>
        <v>0</v>
      </c>
      <c r="P263" s="24">
        <f>0</f>
        <v>0</v>
      </c>
      <c r="Q263" s="28" t="s">
        <v>38</v>
      </c>
      <c r="R263" s="28" t="s">
        <v>111</v>
      </c>
      <c r="S263" s="29">
        <f>985478.14</f>
        <v>985478.14</v>
      </c>
      <c r="T263" s="15"/>
      <c r="U263" s="7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</row>
    <row r="264" spans="1:148" ht="15">
      <c r="A264" s="14" t="s">
        <v>30</v>
      </c>
      <c r="B264" s="15"/>
      <c r="C264" s="15"/>
      <c r="D264" s="24">
        <f>0</f>
        <v>0</v>
      </c>
      <c r="E264" s="15"/>
      <c r="F264" s="15"/>
      <c r="G264" s="15"/>
      <c r="H264" s="15"/>
      <c r="I264" s="15"/>
      <c r="J264" s="15"/>
      <c r="K264" s="15"/>
      <c r="L264" s="15"/>
      <c r="M264" s="24">
        <f>0</f>
        <v>0</v>
      </c>
      <c r="N264" s="15"/>
      <c r="O264" s="24">
        <f>0</f>
        <v>0</v>
      </c>
      <c r="P264" s="24">
        <f>0</f>
        <v>0</v>
      </c>
      <c r="Q264" s="28" t="s">
        <v>38</v>
      </c>
      <c r="R264" s="28" t="s">
        <v>112</v>
      </c>
      <c r="S264" s="29">
        <f>953688.52</f>
        <v>953688.52</v>
      </c>
      <c r="T264" s="15"/>
      <c r="U264" s="7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</row>
    <row r="265" spans="1:148" ht="89.25">
      <c r="A265" s="11" t="s">
        <v>29</v>
      </c>
      <c r="B265" s="12" t="s">
        <v>162</v>
      </c>
      <c r="C265" s="13" t="s">
        <v>31</v>
      </c>
      <c r="D265" s="23">
        <f>300000000</f>
        <v>300000000</v>
      </c>
      <c r="E265" s="13" t="s">
        <v>138</v>
      </c>
      <c r="F265" s="13" t="s">
        <v>163</v>
      </c>
      <c r="G265" s="13" t="s">
        <v>34</v>
      </c>
      <c r="H265" s="13"/>
      <c r="I265" s="13" t="s">
        <v>79</v>
      </c>
      <c r="J265" s="13" t="s">
        <v>160</v>
      </c>
      <c r="K265" s="12" t="s">
        <v>157</v>
      </c>
      <c r="L265" s="13"/>
      <c r="M265" s="23">
        <f>0</f>
        <v>0</v>
      </c>
      <c r="N265" s="13"/>
      <c r="O265" s="23">
        <f>0</f>
        <v>0</v>
      </c>
      <c r="P265" s="23">
        <f>300000000</f>
        <v>300000000</v>
      </c>
      <c r="Q265" s="26" t="s">
        <v>38</v>
      </c>
      <c r="R265" s="26" t="s">
        <v>161</v>
      </c>
      <c r="S265" s="27">
        <f>73360.66</f>
        <v>73360.66</v>
      </c>
      <c r="T265" s="13"/>
      <c r="U265" s="7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</row>
    <row r="266" spans="1:148" ht="15">
      <c r="A266" s="14" t="s">
        <v>30</v>
      </c>
      <c r="B266" s="15"/>
      <c r="C266" s="15"/>
      <c r="D266" s="24">
        <f>0</f>
        <v>0</v>
      </c>
      <c r="E266" s="15"/>
      <c r="F266" s="15"/>
      <c r="G266" s="15"/>
      <c r="H266" s="15"/>
      <c r="I266" s="15"/>
      <c r="J266" s="15"/>
      <c r="K266" s="15"/>
      <c r="L266" s="15"/>
      <c r="M266" s="24">
        <f>0</f>
        <v>0</v>
      </c>
      <c r="N266" s="15"/>
      <c r="O266" s="24">
        <f>0</f>
        <v>0</v>
      </c>
      <c r="P266" s="24">
        <f>0</f>
        <v>0</v>
      </c>
      <c r="Q266" s="28" t="s">
        <v>38</v>
      </c>
      <c r="R266" s="28" t="s">
        <v>94</v>
      </c>
      <c r="S266" s="29">
        <f>2200819.67</f>
        <v>2200819.67</v>
      </c>
      <c r="T266" s="15"/>
      <c r="U266" s="7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</row>
    <row r="267" spans="1:148" ht="15">
      <c r="A267" s="14" t="s">
        <v>30</v>
      </c>
      <c r="B267" s="15"/>
      <c r="C267" s="15"/>
      <c r="D267" s="24">
        <f>0</f>
        <v>0</v>
      </c>
      <c r="E267" s="15"/>
      <c r="F267" s="15"/>
      <c r="G267" s="15"/>
      <c r="H267" s="15"/>
      <c r="I267" s="15"/>
      <c r="J267" s="15"/>
      <c r="K267" s="15"/>
      <c r="L267" s="15"/>
      <c r="M267" s="24">
        <f>0</f>
        <v>0</v>
      </c>
      <c r="N267" s="15"/>
      <c r="O267" s="24">
        <f>0</f>
        <v>0</v>
      </c>
      <c r="P267" s="24">
        <f>0</f>
        <v>0</v>
      </c>
      <c r="Q267" s="28" t="s">
        <v>38</v>
      </c>
      <c r="R267" s="28" t="s">
        <v>111</v>
      </c>
      <c r="S267" s="29">
        <f>2274180.33</f>
        <v>2274180.33</v>
      </c>
      <c r="T267" s="15"/>
      <c r="U267" s="7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</row>
    <row r="268" spans="1:148" ht="15">
      <c r="A268" s="14" t="s">
        <v>30</v>
      </c>
      <c r="B268" s="15"/>
      <c r="C268" s="15"/>
      <c r="D268" s="24">
        <f>0</f>
        <v>0</v>
      </c>
      <c r="E268" s="15"/>
      <c r="F268" s="15"/>
      <c r="G268" s="15"/>
      <c r="H268" s="15"/>
      <c r="I268" s="15"/>
      <c r="J268" s="15"/>
      <c r="K268" s="15"/>
      <c r="L268" s="15"/>
      <c r="M268" s="24">
        <f>0</f>
        <v>0</v>
      </c>
      <c r="N268" s="15"/>
      <c r="O268" s="24">
        <f>0</f>
        <v>0</v>
      </c>
      <c r="P268" s="24">
        <f>0</f>
        <v>0</v>
      </c>
      <c r="Q268" s="28" t="s">
        <v>38</v>
      </c>
      <c r="R268" s="28" t="s">
        <v>112</v>
      </c>
      <c r="S268" s="29">
        <f>2200819.67</f>
        <v>2200819.67</v>
      </c>
      <c r="T268" s="15"/>
      <c r="U268" s="7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</row>
    <row r="269" spans="1:148" ht="89.25">
      <c r="A269" s="11" t="s">
        <v>29</v>
      </c>
      <c r="B269" s="12" t="s">
        <v>164</v>
      </c>
      <c r="C269" s="13" t="s">
        <v>165</v>
      </c>
      <c r="D269" s="23">
        <f>330000000</f>
        <v>330000000</v>
      </c>
      <c r="E269" s="13" t="s">
        <v>138</v>
      </c>
      <c r="F269" s="13" t="s">
        <v>166</v>
      </c>
      <c r="G269" s="13" t="s">
        <v>34</v>
      </c>
      <c r="H269" s="13"/>
      <c r="I269" s="13" t="s">
        <v>79</v>
      </c>
      <c r="J269" s="13" t="s">
        <v>160</v>
      </c>
      <c r="K269" s="12" t="s">
        <v>167</v>
      </c>
      <c r="L269" s="13"/>
      <c r="M269" s="23">
        <f>0</f>
        <v>0</v>
      </c>
      <c r="N269" s="13"/>
      <c r="O269" s="23">
        <f>0</f>
        <v>0</v>
      </c>
      <c r="P269" s="23">
        <f>330000000</f>
        <v>330000000</v>
      </c>
      <c r="Q269" s="26" t="s">
        <v>38</v>
      </c>
      <c r="R269" s="26" t="s">
        <v>168</v>
      </c>
      <c r="S269" s="27">
        <f>161213.11</f>
        <v>161213.11</v>
      </c>
      <c r="T269" s="13"/>
      <c r="U269" s="7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</row>
    <row r="270" spans="1:148" ht="15">
      <c r="A270" s="14" t="s">
        <v>30</v>
      </c>
      <c r="B270" s="15"/>
      <c r="C270" s="15"/>
      <c r="D270" s="24">
        <f>0</f>
        <v>0</v>
      </c>
      <c r="E270" s="15"/>
      <c r="F270" s="15"/>
      <c r="G270" s="15"/>
      <c r="H270" s="15"/>
      <c r="I270" s="15"/>
      <c r="J270" s="15"/>
      <c r="K270" s="15"/>
      <c r="L270" s="15"/>
      <c r="M270" s="24">
        <f>0</f>
        <v>0</v>
      </c>
      <c r="N270" s="15"/>
      <c r="O270" s="24">
        <f>0</f>
        <v>0</v>
      </c>
      <c r="P270" s="24">
        <f>0</f>
        <v>0</v>
      </c>
      <c r="Q270" s="28" t="s">
        <v>38</v>
      </c>
      <c r="R270" s="28" t="s">
        <v>169</v>
      </c>
      <c r="S270" s="29">
        <f>1773344.27</f>
        <v>1773344.27</v>
      </c>
      <c r="T270" s="15"/>
      <c r="U270" s="7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</row>
    <row r="271" spans="1:148" ht="15">
      <c r="A271" s="14" t="s">
        <v>30</v>
      </c>
      <c r="B271" s="15"/>
      <c r="C271" s="15"/>
      <c r="D271" s="24">
        <f>0</f>
        <v>0</v>
      </c>
      <c r="E271" s="15"/>
      <c r="F271" s="15"/>
      <c r="G271" s="15"/>
      <c r="H271" s="15"/>
      <c r="I271" s="15"/>
      <c r="J271" s="15"/>
      <c r="K271" s="15"/>
      <c r="L271" s="15"/>
      <c r="M271" s="24">
        <f>0</f>
        <v>0</v>
      </c>
      <c r="N271" s="15"/>
      <c r="O271" s="24">
        <f>0</f>
        <v>0</v>
      </c>
      <c r="P271" s="24">
        <f>0</f>
        <v>0</v>
      </c>
      <c r="Q271" s="28" t="s">
        <v>38</v>
      </c>
      <c r="R271" s="28" t="s">
        <v>170</v>
      </c>
      <c r="S271" s="29">
        <f>2498803.28</f>
        <v>2498803.28</v>
      </c>
      <c r="T271" s="15"/>
      <c r="U271" s="7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</row>
    <row r="272" spans="1:148" ht="15">
      <c r="A272" s="14" t="s">
        <v>30</v>
      </c>
      <c r="B272" s="15"/>
      <c r="C272" s="15"/>
      <c r="D272" s="24">
        <f>0</f>
        <v>0</v>
      </c>
      <c r="E272" s="15"/>
      <c r="F272" s="15"/>
      <c r="G272" s="15"/>
      <c r="H272" s="15"/>
      <c r="I272" s="15"/>
      <c r="J272" s="15"/>
      <c r="K272" s="15"/>
      <c r="L272" s="15"/>
      <c r="M272" s="24">
        <f>0</f>
        <v>0</v>
      </c>
      <c r="N272" s="15"/>
      <c r="O272" s="24">
        <f>0</f>
        <v>0</v>
      </c>
      <c r="P272" s="24">
        <f>0</f>
        <v>0</v>
      </c>
      <c r="Q272" s="28" t="s">
        <v>38</v>
      </c>
      <c r="R272" s="28" t="s">
        <v>171</v>
      </c>
      <c r="S272" s="29">
        <f>2418196.72</f>
        <v>2418196.72</v>
      </c>
      <c r="T272" s="15"/>
      <c r="U272" s="7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</row>
    <row r="273" spans="1:148" ht="89.25">
      <c r="A273" s="11" t="s">
        <v>29</v>
      </c>
      <c r="B273" s="12" t="s">
        <v>172</v>
      </c>
      <c r="C273" s="13" t="s">
        <v>165</v>
      </c>
      <c r="D273" s="23">
        <f>330000000</f>
        <v>330000000</v>
      </c>
      <c r="E273" s="13" t="s">
        <v>138</v>
      </c>
      <c r="F273" s="13" t="s">
        <v>173</v>
      </c>
      <c r="G273" s="13" t="s">
        <v>34</v>
      </c>
      <c r="H273" s="13"/>
      <c r="I273" s="13" t="s">
        <v>79</v>
      </c>
      <c r="J273" s="13" t="s">
        <v>160</v>
      </c>
      <c r="K273" s="12" t="s">
        <v>167</v>
      </c>
      <c r="L273" s="13"/>
      <c r="M273" s="23">
        <f>0</f>
        <v>0</v>
      </c>
      <c r="N273" s="13"/>
      <c r="O273" s="23">
        <f>0</f>
        <v>0</v>
      </c>
      <c r="P273" s="23">
        <f>330000000</f>
        <v>330000000</v>
      </c>
      <c r="Q273" s="26" t="s">
        <v>38</v>
      </c>
      <c r="R273" s="26" t="s">
        <v>168</v>
      </c>
      <c r="S273" s="27">
        <f>161213.11</f>
        <v>161213.11</v>
      </c>
      <c r="T273" s="13"/>
      <c r="U273" s="7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</row>
    <row r="274" spans="1:148" ht="15">
      <c r="A274" s="14" t="s">
        <v>30</v>
      </c>
      <c r="B274" s="15"/>
      <c r="C274" s="15"/>
      <c r="D274" s="24">
        <f>0</f>
        <v>0</v>
      </c>
      <c r="E274" s="15"/>
      <c r="F274" s="15"/>
      <c r="G274" s="15"/>
      <c r="H274" s="15"/>
      <c r="I274" s="15"/>
      <c r="J274" s="15"/>
      <c r="K274" s="15"/>
      <c r="L274" s="15"/>
      <c r="M274" s="24">
        <f>0</f>
        <v>0</v>
      </c>
      <c r="N274" s="15"/>
      <c r="O274" s="24">
        <f>0</f>
        <v>0</v>
      </c>
      <c r="P274" s="24">
        <f>0</f>
        <v>0</v>
      </c>
      <c r="Q274" s="28" t="s">
        <v>38</v>
      </c>
      <c r="R274" s="28" t="s">
        <v>169</v>
      </c>
      <c r="S274" s="29">
        <f>1773344.27</f>
        <v>1773344.27</v>
      </c>
      <c r="T274" s="15"/>
      <c r="U274" s="7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</row>
    <row r="275" spans="1:148" ht="15">
      <c r="A275" s="14" t="s">
        <v>30</v>
      </c>
      <c r="B275" s="15"/>
      <c r="C275" s="15"/>
      <c r="D275" s="24">
        <f>0</f>
        <v>0</v>
      </c>
      <c r="E275" s="15"/>
      <c r="F275" s="15"/>
      <c r="G275" s="15"/>
      <c r="H275" s="15"/>
      <c r="I275" s="15"/>
      <c r="J275" s="15"/>
      <c r="K275" s="15"/>
      <c r="L275" s="15"/>
      <c r="M275" s="24">
        <f>0</f>
        <v>0</v>
      </c>
      <c r="N275" s="15"/>
      <c r="O275" s="24">
        <f>0</f>
        <v>0</v>
      </c>
      <c r="P275" s="24">
        <f>0</f>
        <v>0</v>
      </c>
      <c r="Q275" s="28" t="s">
        <v>38</v>
      </c>
      <c r="R275" s="28" t="s">
        <v>170</v>
      </c>
      <c r="S275" s="29">
        <f>2498803.28</f>
        <v>2498803.28</v>
      </c>
      <c r="T275" s="15"/>
      <c r="U275" s="7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</row>
    <row r="276" spans="1:148" ht="15">
      <c r="A276" s="14" t="s">
        <v>30</v>
      </c>
      <c r="B276" s="15"/>
      <c r="C276" s="15"/>
      <c r="D276" s="24">
        <f>0</f>
        <v>0</v>
      </c>
      <c r="E276" s="15"/>
      <c r="F276" s="15"/>
      <c r="G276" s="15"/>
      <c r="H276" s="15"/>
      <c r="I276" s="15"/>
      <c r="J276" s="15"/>
      <c r="K276" s="15"/>
      <c r="L276" s="15"/>
      <c r="M276" s="24">
        <f>0</f>
        <v>0</v>
      </c>
      <c r="N276" s="15"/>
      <c r="O276" s="24">
        <f>0</f>
        <v>0</v>
      </c>
      <c r="P276" s="24">
        <f>0</f>
        <v>0</v>
      </c>
      <c r="Q276" s="28" t="s">
        <v>38</v>
      </c>
      <c r="R276" s="28" t="s">
        <v>171</v>
      </c>
      <c r="S276" s="29">
        <f>2418196.72</f>
        <v>2418196.72</v>
      </c>
      <c r="T276" s="15"/>
      <c r="U276" s="7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</row>
    <row r="277" spans="1:148" ht="89.25">
      <c r="A277" s="11" t="s">
        <v>29</v>
      </c>
      <c r="B277" s="12" t="s">
        <v>174</v>
      </c>
      <c r="C277" s="13" t="s">
        <v>165</v>
      </c>
      <c r="D277" s="23">
        <f>330000000</f>
        <v>330000000</v>
      </c>
      <c r="E277" s="13" t="s">
        <v>138</v>
      </c>
      <c r="F277" s="13" t="s">
        <v>175</v>
      </c>
      <c r="G277" s="13" t="s">
        <v>34</v>
      </c>
      <c r="H277" s="13"/>
      <c r="I277" s="13" t="s">
        <v>79</v>
      </c>
      <c r="J277" s="13" t="s">
        <v>160</v>
      </c>
      <c r="K277" s="12" t="s">
        <v>167</v>
      </c>
      <c r="L277" s="13"/>
      <c r="M277" s="23">
        <f>0</f>
        <v>0</v>
      </c>
      <c r="N277" s="13"/>
      <c r="O277" s="23">
        <f>0</f>
        <v>0</v>
      </c>
      <c r="P277" s="23">
        <f>330000000</f>
        <v>330000000</v>
      </c>
      <c r="Q277" s="26" t="s">
        <v>38</v>
      </c>
      <c r="R277" s="26" t="s">
        <v>168</v>
      </c>
      <c r="S277" s="27">
        <f>161213.11</f>
        <v>161213.11</v>
      </c>
      <c r="T277" s="13"/>
      <c r="U277" s="7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</row>
    <row r="278" spans="1:148" ht="15">
      <c r="A278" s="14" t="s">
        <v>30</v>
      </c>
      <c r="B278" s="15"/>
      <c r="C278" s="15"/>
      <c r="D278" s="24">
        <f>0</f>
        <v>0</v>
      </c>
      <c r="E278" s="15"/>
      <c r="F278" s="15"/>
      <c r="G278" s="15"/>
      <c r="H278" s="15"/>
      <c r="I278" s="15"/>
      <c r="J278" s="15"/>
      <c r="K278" s="15"/>
      <c r="L278" s="15"/>
      <c r="M278" s="24">
        <f>0</f>
        <v>0</v>
      </c>
      <c r="N278" s="15"/>
      <c r="O278" s="24">
        <f>0</f>
        <v>0</v>
      </c>
      <c r="P278" s="24">
        <f>0</f>
        <v>0</v>
      </c>
      <c r="Q278" s="28" t="s">
        <v>38</v>
      </c>
      <c r="R278" s="28" t="s">
        <v>169</v>
      </c>
      <c r="S278" s="29">
        <f>1773344.27</f>
        <v>1773344.27</v>
      </c>
      <c r="T278" s="15"/>
      <c r="U278" s="7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</row>
    <row r="279" spans="1:148" ht="15">
      <c r="A279" s="14" t="s">
        <v>30</v>
      </c>
      <c r="B279" s="15"/>
      <c r="C279" s="15"/>
      <c r="D279" s="24">
        <f>0</f>
        <v>0</v>
      </c>
      <c r="E279" s="15"/>
      <c r="F279" s="15"/>
      <c r="G279" s="15"/>
      <c r="H279" s="15"/>
      <c r="I279" s="15"/>
      <c r="J279" s="15"/>
      <c r="K279" s="15"/>
      <c r="L279" s="15"/>
      <c r="M279" s="24">
        <f>0</f>
        <v>0</v>
      </c>
      <c r="N279" s="15"/>
      <c r="O279" s="24">
        <f>0</f>
        <v>0</v>
      </c>
      <c r="P279" s="24">
        <f>0</f>
        <v>0</v>
      </c>
      <c r="Q279" s="28" t="s">
        <v>38</v>
      </c>
      <c r="R279" s="28" t="s">
        <v>170</v>
      </c>
      <c r="S279" s="29">
        <f>2498803.28</f>
        <v>2498803.28</v>
      </c>
      <c r="T279" s="15"/>
      <c r="U279" s="7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</row>
    <row r="280" spans="1:148" ht="15">
      <c r="A280" s="14" t="s">
        <v>30</v>
      </c>
      <c r="B280" s="15"/>
      <c r="C280" s="15"/>
      <c r="D280" s="24">
        <f>0</f>
        <v>0</v>
      </c>
      <c r="E280" s="15"/>
      <c r="F280" s="15"/>
      <c r="G280" s="15"/>
      <c r="H280" s="15"/>
      <c r="I280" s="15"/>
      <c r="J280" s="15"/>
      <c r="K280" s="15"/>
      <c r="L280" s="15"/>
      <c r="M280" s="24">
        <f>0</f>
        <v>0</v>
      </c>
      <c r="N280" s="15"/>
      <c r="O280" s="24">
        <f>0</f>
        <v>0</v>
      </c>
      <c r="P280" s="24">
        <f>0</f>
        <v>0</v>
      </c>
      <c r="Q280" s="28" t="s">
        <v>38</v>
      </c>
      <c r="R280" s="28" t="s">
        <v>171</v>
      </c>
      <c r="S280" s="29">
        <f>2418196.72</f>
        <v>2418196.72</v>
      </c>
      <c r="T280" s="15"/>
      <c r="U280" s="7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</row>
    <row r="281" spans="1:148" ht="89.25">
      <c r="A281" s="11" t="s">
        <v>29</v>
      </c>
      <c r="B281" s="12" t="s">
        <v>176</v>
      </c>
      <c r="C281" s="13" t="s">
        <v>165</v>
      </c>
      <c r="D281" s="23">
        <f>20000000</f>
        <v>20000000</v>
      </c>
      <c r="E281" s="13" t="s">
        <v>138</v>
      </c>
      <c r="F281" s="13" t="s">
        <v>177</v>
      </c>
      <c r="G281" s="13" t="s">
        <v>34</v>
      </c>
      <c r="H281" s="13"/>
      <c r="I281" s="13" t="s">
        <v>79</v>
      </c>
      <c r="J281" s="13" t="s">
        <v>160</v>
      </c>
      <c r="K281" s="12" t="s">
        <v>167</v>
      </c>
      <c r="L281" s="13"/>
      <c r="M281" s="23">
        <f>0</f>
        <v>0</v>
      </c>
      <c r="N281" s="13"/>
      <c r="O281" s="23">
        <f>0</f>
        <v>0</v>
      </c>
      <c r="P281" s="23">
        <f>20000000</f>
        <v>20000000</v>
      </c>
      <c r="Q281" s="26" t="s">
        <v>38</v>
      </c>
      <c r="R281" s="26" t="s">
        <v>168</v>
      </c>
      <c r="S281" s="27">
        <f>9770.49</f>
        <v>9770.49</v>
      </c>
      <c r="T281" s="13"/>
      <c r="U281" s="7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</row>
    <row r="282" spans="1:148" ht="15">
      <c r="A282" s="14" t="s">
        <v>30</v>
      </c>
      <c r="B282" s="15"/>
      <c r="C282" s="15"/>
      <c r="D282" s="24">
        <f>0</f>
        <v>0</v>
      </c>
      <c r="E282" s="15"/>
      <c r="F282" s="15"/>
      <c r="G282" s="15"/>
      <c r="H282" s="15"/>
      <c r="I282" s="15"/>
      <c r="J282" s="15"/>
      <c r="K282" s="15"/>
      <c r="L282" s="15"/>
      <c r="M282" s="24">
        <f>0</f>
        <v>0</v>
      </c>
      <c r="N282" s="15"/>
      <c r="O282" s="24">
        <f>0</f>
        <v>0</v>
      </c>
      <c r="P282" s="24">
        <f>0</f>
        <v>0</v>
      </c>
      <c r="Q282" s="28" t="s">
        <v>38</v>
      </c>
      <c r="R282" s="28" t="s">
        <v>169</v>
      </c>
      <c r="S282" s="29">
        <f>107475.41</f>
        <v>107475.41</v>
      </c>
      <c r="T282" s="15"/>
      <c r="U282" s="7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</row>
    <row r="283" spans="1:148" ht="15">
      <c r="A283" s="14" t="s">
        <v>30</v>
      </c>
      <c r="B283" s="15"/>
      <c r="C283" s="15"/>
      <c r="D283" s="24">
        <f>0</f>
        <v>0</v>
      </c>
      <c r="E283" s="15"/>
      <c r="F283" s="15"/>
      <c r="G283" s="15"/>
      <c r="H283" s="15"/>
      <c r="I283" s="15"/>
      <c r="J283" s="15"/>
      <c r="K283" s="15"/>
      <c r="L283" s="15"/>
      <c r="M283" s="24">
        <f>0</f>
        <v>0</v>
      </c>
      <c r="N283" s="15"/>
      <c r="O283" s="24">
        <f>0</f>
        <v>0</v>
      </c>
      <c r="P283" s="24">
        <f>0</f>
        <v>0</v>
      </c>
      <c r="Q283" s="28" t="s">
        <v>38</v>
      </c>
      <c r="R283" s="28" t="s">
        <v>170</v>
      </c>
      <c r="S283" s="29">
        <f>151442.62</f>
        <v>151442.62</v>
      </c>
      <c r="T283" s="15"/>
      <c r="U283" s="7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</row>
    <row r="284" spans="1:148" ht="15">
      <c r="A284" s="14" t="s">
        <v>30</v>
      </c>
      <c r="B284" s="15"/>
      <c r="C284" s="15"/>
      <c r="D284" s="24">
        <f>0</f>
        <v>0</v>
      </c>
      <c r="E284" s="15"/>
      <c r="F284" s="15"/>
      <c r="G284" s="15"/>
      <c r="H284" s="15"/>
      <c r="I284" s="15"/>
      <c r="J284" s="15"/>
      <c r="K284" s="15"/>
      <c r="L284" s="15"/>
      <c r="M284" s="24">
        <f>0</f>
        <v>0</v>
      </c>
      <c r="N284" s="15"/>
      <c r="O284" s="24">
        <f>0</f>
        <v>0</v>
      </c>
      <c r="P284" s="24">
        <f>0</f>
        <v>0</v>
      </c>
      <c r="Q284" s="28" t="s">
        <v>38</v>
      </c>
      <c r="R284" s="28" t="s">
        <v>171</v>
      </c>
      <c r="S284" s="29">
        <f>146557.38</f>
        <v>146557.38</v>
      </c>
      <c r="T284" s="15"/>
      <c r="U284" s="7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</row>
    <row r="285" spans="1:148" ht="89.25">
      <c r="A285" s="11" t="s">
        <v>29</v>
      </c>
      <c r="B285" s="12" t="s">
        <v>178</v>
      </c>
      <c r="C285" s="13" t="s">
        <v>165</v>
      </c>
      <c r="D285" s="23">
        <f>149513700</f>
        <v>149513700</v>
      </c>
      <c r="E285" s="13" t="s">
        <v>138</v>
      </c>
      <c r="F285" s="13" t="s">
        <v>179</v>
      </c>
      <c r="G285" s="13" t="s">
        <v>34</v>
      </c>
      <c r="H285" s="13"/>
      <c r="I285" s="13" t="s">
        <v>180</v>
      </c>
      <c r="J285" s="13" t="s">
        <v>181</v>
      </c>
      <c r="K285" s="12" t="s">
        <v>157</v>
      </c>
      <c r="L285" s="13"/>
      <c r="M285" s="23">
        <f>0</f>
        <v>0</v>
      </c>
      <c r="N285" s="13"/>
      <c r="O285" s="23">
        <f>0</f>
        <v>0</v>
      </c>
      <c r="P285" s="23">
        <f>149513700</f>
        <v>149513700</v>
      </c>
      <c r="Q285" s="26" t="s">
        <v>38</v>
      </c>
      <c r="R285" s="26" t="s">
        <v>169</v>
      </c>
      <c r="S285" s="27">
        <f>438736.92</f>
        <v>438736.92</v>
      </c>
      <c r="T285" s="13"/>
      <c r="U285" s="7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</row>
    <row r="286" spans="1:148" ht="15">
      <c r="A286" s="14" t="s">
        <v>30</v>
      </c>
      <c r="B286" s="15"/>
      <c r="C286" s="15"/>
      <c r="D286" s="24">
        <f>0</f>
        <v>0</v>
      </c>
      <c r="E286" s="15"/>
      <c r="F286" s="15"/>
      <c r="G286" s="15"/>
      <c r="H286" s="15"/>
      <c r="I286" s="15"/>
      <c r="J286" s="15"/>
      <c r="K286" s="15"/>
      <c r="L286" s="15"/>
      <c r="M286" s="24">
        <f>0</f>
        <v>0</v>
      </c>
      <c r="N286" s="15"/>
      <c r="O286" s="24">
        <f>0</f>
        <v>0</v>
      </c>
      <c r="P286" s="24">
        <f>0</f>
        <v>0</v>
      </c>
      <c r="Q286" s="28" t="s">
        <v>38</v>
      </c>
      <c r="R286" s="28" t="s">
        <v>170</v>
      </c>
      <c r="S286" s="29">
        <f>1133403.71</f>
        <v>1133403.71</v>
      </c>
      <c r="T286" s="15"/>
      <c r="U286" s="7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</row>
    <row r="287" spans="1:148" ht="15">
      <c r="A287" s="14" t="s">
        <v>30</v>
      </c>
      <c r="B287" s="15"/>
      <c r="C287" s="15"/>
      <c r="D287" s="24">
        <f>0</f>
        <v>0</v>
      </c>
      <c r="E287" s="15"/>
      <c r="F287" s="15"/>
      <c r="G287" s="15"/>
      <c r="H287" s="15"/>
      <c r="I287" s="15"/>
      <c r="J287" s="15"/>
      <c r="K287" s="15"/>
      <c r="L287" s="15"/>
      <c r="M287" s="24">
        <f>0</f>
        <v>0</v>
      </c>
      <c r="N287" s="15"/>
      <c r="O287" s="24">
        <f>0</f>
        <v>0</v>
      </c>
      <c r="P287" s="24">
        <f>0</f>
        <v>0</v>
      </c>
      <c r="Q287" s="28" t="s">
        <v>38</v>
      </c>
      <c r="R287" s="28" t="s">
        <v>171</v>
      </c>
      <c r="S287" s="29">
        <f>1096842.3</f>
        <v>1096842.3</v>
      </c>
      <c r="T287" s="15"/>
      <c r="U287" s="7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</row>
    <row r="288" spans="1:148" ht="89.25">
      <c r="A288" s="11" t="s">
        <v>29</v>
      </c>
      <c r="B288" s="12" t="s">
        <v>182</v>
      </c>
      <c r="C288" s="13" t="s">
        <v>165</v>
      </c>
      <c r="D288" s="23">
        <f>160000000</f>
        <v>160000000</v>
      </c>
      <c r="E288" s="13" t="s">
        <v>138</v>
      </c>
      <c r="F288" s="13" t="s">
        <v>183</v>
      </c>
      <c r="G288" s="13" t="s">
        <v>34</v>
      </c>
      <c r="H288" s="13"/>
      <c r="I288" s="13" t="s">
        <v>184</v>
      </c>
      <c r="J288" s="13" t="s">
        <v>185</v>
      </c>
      <c r="K288" s="12" t="s">
        <v>167</v>
      </c>
      <c r="L288" s="13"/>
      <c r="M288" s="23">
        <f>0</f>
        <v>0</v>
      </c>
      <c r="N288" s="13"/>
      <c r="O288" s="23">
        <f>0</f>
        <v>0</v>
      </c>
      <c r="P288" s="23">
        <f>160000000</f>
        <v>160000000</v>
      </c>
      <c r="Q288" s="26" t="s">
        <v>38</v>
      </c>
      <c r="R288" s="26" t="s">
        <v>169</v>
      </c>
      <c r="S288" s="27">
        <f>195409.84</f>
        <v>195409.84</v>
      </c>
      <c r="T288" s="13"/>
      <c r="U288" s="7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</row>
    <row r="289" spans="1:148" ht="15">
      <c r="A289" s="14" t="s">
        <v>30</v>
      </c>
      <c r="B289" s="15"/>
      <c r="C289" s="15"/>
      <c r="D289" s="24">
        <f>0</f>
        <v>0</v>
      </c>
      <c r="E289" s="15"/>
      <c r="F289" s="15"/>
      <c r="G289" s="15"/>
      <c r="H289" s="15"/>
      <c r="I289" s="15"/>
      <c r="J289" s="15"/>
      <c r="K289" s="15"/>
      <c r="L289" s="15"/>
      <c r="M289" s="24">
        <f>0</f>
        <v>0</v>
      </c>
      <c r="N289" s="15"/>
      <c r="O289" s="24">
        <f>0</f>
        <v>0</v>
      </c>
      <c r="P289" s="24">
        <f>0</f>
        <v>0</v>
      </c>
      <c r="Q289" s="28" t="s">
        <v>38</v>
      </c>
      <c r="R289" s="28" t="s">
        <v>170</v>
      </c>
      <c r="S289" s="29">
        <f>1211540.98</f>
        <v>1211540.98</v>
      </c>
      <c r="T289" s="15"/>
      <c r="U289" s="7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</row>
    <row r="290" spans="1:148" ht="15">
      <c r="A290" s="14" t="s">
        <v>30</v>
      </c>
      <c r="B290" s="15"/>
      <c r="C290" s="15"/>
      <c r="D290" s="24">
        <f>0</f>
        <v>0</v>
      </c>
      <c r="E290" s="15"/>
      <c r="F290" s="15"/>
      <c r="G290" s="15"/>
      <c r="H290" s="15"/>
      <c r="I290" s="15"/>
      <c r="J290" s="15"/>
      <c r="K290" s="15"/>
      <c r="L290" s="15"/>
      <c r="M290" s="24">
        <f>0</f>
        <v>0</v>
      </c>
      <c r="N290" s="15"/>
      <c r="O290" s="24">
        <f>0</f>
        <v>0</v>
      </c>
      <c r="P290" s="24">
        <f>0</f>
        <v>0</v>
      </c>
      <c r="Q290" s="28" t="s">
        <v>38</v>
      </c>
      <c r="R290" s="28" t="s">
        <v>171</v>
      </c>
      <c r="S290" s="29">
        <f>1172459.01</f>
        <v>1172459.01</v>
      </c>
      <c r="T290" s="15"/>
      <c r="U290" s="7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</row>
    <row r="291" spans="1:148" ht="89.25">
      <c r="A291" s="11" t="s">
        <v>29</v>
      </c>
      <c r="B291" s="12" t="s">
        <v>186</v>
      </c>
      <c r="C291" s="13" t="s">
        <v>165</v>
      </c>
      <c r="D291" s="23">
        <f>310000000</f>
        <v>310000000</v>
      </c>
      <c r="E291" s="13" t="s">
        <v>138</v>
      </c>
      <c r="F291" s="13" t="s">
        <v>187</v>
      </c>
      <c r="G291" s="13" t="s">
        <v>34</v>
      </c>
      <c r="H291" s="13"/>
      <c r="I291" s="13" t="s">
        <v>188</v>
      </c>
      <c r="J291" s="13" t="s">
        <v>189</v>
      </c>
      <c r="K291" s="12" t="s">
        <v>190</v>
      </c>
      <c r="L291" s="13"/>
      <c r="M291" s="23">
        <f>0</f>
        <v>0</v>
      </c>
      <c r="N291" s="13"/>
      <c r="O291" s="23">
        <f>0</f>
        <v>0</v>
      </c>
      <c r="P291" s="23">
        <f>310000000</f>
        <v>310000000</v>
      </c>
      <c r="Q291" s="26" t="s">
        <v>38</v>
      </c>
      <c r="R291" s="26" t="s">
        <v>171</v>
      </c>
      <c r="S291" s="27">
        <f>609836.07</f>
        <v>609836.07</v>
      </c>
      <c r="T291" s="13"/>
      <c r="U291" s="7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</row>
    <row r="292" spans="1:148" ht="89.25">
      <c r="A292" s="11" t="s">
        <v>29</v>
      </c>
      <c r="B292" s="12" t="s">
        <v>191</v>
      </c>
      <c r="C292" s="13" t="s">
        <v>165</v>
      </c>
      <c r="D292" s="23">
        <f>330000000</f>
        <v>330000000</v>
      </c>
      <c r="E292" s="13" t="s">
        <v>138</v>
      </c>
      <c r="F292" s="13" t="s">
        <v>192</v>
      </c>
      <c r="G292" s="13" t="s">
        <v>34</v>
      </c>
      <c r="H292" s="13"/>
      <c r="I292" s="13" t="s">
        <v>188</v>
      </c>
      <c r="J292" s="13" t="s">
        <v>189</v>
      </c>
      <c r="K292" s="12" t="s">
        <v>167</v>
      </c>
      <c r="L292" s="13"/>
      <c r="M292" s="23">
        <f>0</f>
        <v>0</v>
      </c>
      <c r="N292" s="13"/>
      <c r="O292" s="23">
        <f>0</f>
        <v>0</v>
      </c>
      <c r="P292" s="23">
        <f>330000000</f>
        <v>330000000</v>
      </c>
      <c r="Q292" s="26" t="s">
        <v>38</v>
      </c>
      <c r="R292" s="26" t="s">
        <v>171</v>
      </c>
      <c r="S292" s="27">
        <f>644852.46</f>
        <v>644852.46</v>
      </c>
      <c r="T292" s="13"/>
      <c r="U292" s="7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</row>
    <row r="293" spans="1:148" ht="89.25">
      <c r="A293" s="11" t="s">
        <v>29</v>
      </c>
      <c r="B293" s="12" t="s">
        <v>193</v>
      </c>
      <c r="C293" s="13" t="s">
        <v>165</v>
      </c>
      <c r="D293" s="23">
        <f>150000000</f>
        <v>150000000</v>
      </c>
      <c r="E293" s="13" t="s">
        <v>138</v>
      </c>
      <c r="F293" s="13" t="s">
        <v>194</v>
      </c>
      <c r="G293" s="13" t="s">
        <v>34</v>
      </c>
      <c r="H293" s="13"/>
      <c r="I293" s="13" t="s">
        <v>188</v>
      </c>
      <c r="J293" s="13" t="s">
        <v>189</v>
      </c>
      <c r="K293" s="12" t="s">
        <v>167</v>
      </c>
      <c r="L293" s="13"/>
      <c r="M293" s="23">
        <f>0</f>
        <v>0</v>
      </c>
      <c r="N293" s="13"/>
      <c r="O293" s="23">
        <f>0</f>
        <v>0</v>
      </c>
      <c r="P293" s="23">
        <f>150000000</f>
        <v>150000000</v>
      </c>
      <c r="Q293" s="26" t="s">
        <v>38</v>
      </c>
      <c r="R293" s="26" t="s">
        <v>171</v>
      </c>
      <c r="S293" s="27">
        <f>293114.75</f>
        <v>293114.75</v>
      </c>
      <c r="T293" s="13"/>
      <c r="U293" s="7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</row>
    <row r="294" spans="1:148" ht="89.25">
      <c r="A294" s="11" t="s">
        <v>29</v>
      </c>
      <c r="B294" s="12" t="s">
        <v>195</v>
      </c>
      <c r="C294" s="13" t="s">
        <v>165</v>
      </c>
      <c r="D294" s="23">
        <f>20000000</f>
        <v>20000000</v>
      </c>
      <c r="E294" s="13" t="s">
        <v>138</v>
      </c>
      <c r="F294" s="13" t="s">
        <v>196</v>
      </c>
      <c r="G294" s="13" t="s">
        <v>34</v>
      </c>
      <c r="H294" s="13"/>
      <c r="I294" s="13" t="s">
        <v>197</v>
      </c>
      <c r="J294" s="13" t="s">
        <v>198</v>
      </c>
      <c r="K294" s="12" t="s">
        <v>190</v>
      </c>
      <c r="L294" s="13"/>
      <c r="M294" s="23">
        <f>0</f>
        <v>0</v>
      </c>
      <c r="N294" s="13"/>
      <c r="O294" s="23">
        <f>0</f>
        <v>0</v>
      </c>
      <c r="P294" s="23">
        <f>20000000</f>
        <v>20000000</v>
      </c>
      <c r="Q294" s="26" t="s">
        <v>38</v>
      </c>
      <c r="R294" s="26" t="s">
        <v>171</v>
      </c>
      <c r="S294" s="27">
        <f>14754.1</f>
        <v>14754.1</v>
      </c>
      <c r="T294" s="13"/>
      <c r="U294" s="7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</row>
    <row r="295" spans="1:148" ht="89.25">
      <c r="A295" s="11" t="s">
        <v>29</v>
      </c>
      <c r="B295" s="12" t="s">
        <v>199</v>
      </c>
      <c r="C295" s="13" t="s">
        <v>165</v>
      </c>
      <c r="D295" s="23">
        <f>330000000</f>
        <v>330000000</v>
      </c>
      <c r="E295" s="13" t="s">
        <v>138</v>
      </c>
      <c r="F295" s="13" t="s">
        <v>200</v>
      </c>
      <c r="G295" s="13" t="s">
        <v>34</v>
      </c>
      <c r="H295" s="13"/>
      <c r="I295" s="13" t="s">
        <v>197</v>
      </c>
      <c r="J295" s="13" t="s">
        <v>198</v>
      </c>
      <c r="K295" s="12" t="s">
        <v>190</v>
      </c>
      <c r="L295" s="13"/>
      <c r="M295" s="23">
        <f>0</f>
        <v>0</v>
      </c>
      <c r="N295" s="13"/>
      <c r="O295" s="23">
        <f>0</f>
        <v>0</v>
      </c>
      <c r="P295" s="23">
        <f>330000000</f>
        <v>330000000</v>
      </c>
      <c r="Q295" s="26" t="s">
        <v>38</v>
      </c>
      <c r="R295" s="26" t="s">
        <v>171</v>
      </c>
      <c r="S295" s="27">
        <f>243442.62</f>
        <v>243442.62</v>
      </c>
      <c r="T295" s="13"/>
      <c r="U295" s="7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</row>
    <row r="296" spans="1:148" ht="89.25">
      <c r="A296" s="11" t="s">
        <v>29</v>
      </c>
      <c r="B296" s="12" t="s">
        <v>201</v>
      </c>
      <c r="C296" s="13" t="s">
        <v>165</v>
      </c>
      <c r="D296" s="23">
        <f>183766800</f>
        <v>183766800</v>
      </c>
      <c r="E296" s="13" t="s">
        <v>138</v>
      </c>
      <c r="F296" s="13" t="s">
        <v>202</v>
      </c>
      <c r="G296" s="13" t="s">
        <v>34</v>
      </c>
      <c r="H296" s="13"/>
      <c r="I296" s="13" t="s">
        <v>203</v>
      </c>
      <c r="J296" s="13" t="s">
        <v>204</v>
      </c>
      <c r="K296" s="12" t="s">
        <v>157</v>
      </c>
      <c r="L296" s="13"/>
      <c r="M296" s="23">
        <f>0</f>
        <v>0</v>
      </c>
      <c r="N296" s="13"/>
      <c r="O296" s="23">
        <f>0</f>
        <v>0</v>
      </c>
      <c r="P296" s="23">
        <f>183766800</f>
        <v>183766800</v>
      </c>
      <c r="Q296" s="26" t="s">
        <v>38</v>
      </c>
      <c r="R296" s="26" t="s">
        <v>171</v>
      </c>
      <c r="S296" s="27">
        <f>44937.51</f>
        <v>44937.51</v>
      </c>
      <c r="T296" s="13"/>
      <c r="U296" s="7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</row>
    <row r="297" spans="1:148" s="22" customFormat="1" ht="15">
      <c r="A297" s="18" t="s">
        <v>206</v>
      </c>
      <c r="B297" s="19"/>
      <c r="C297" s="19"/>
      <c r="D297" s="25">
        <v>8478223800</v>
      </c>
      <c r="E297" s="19"/>
      <c r="F297" s="19"/>
      <c r="G297" s="19"/>
      <c r="H297" s="19"/>
      <c r="I297" s="19"/>
      <c r="J297" s="19"/>
      <c r="K297" s="19"/>
      <c r="L297" s="19"/>
      <c r="M297" s="25">
        <v>0</v>
      </c>
      <c r="N297" s="19"/>
      <c r="O297" s="25">
        <v>0</v>
      </c>
      <c r="P297" s="25">
        <v>5618223800</v>
      </c>
      <c r="Q297" s="19"/>
      <c r="R297" s="19"/>
      <c r="S297" s="25">
        <v>328595249.91</v>
      </c>
      <c r="T297" s="19"/>
      <c r="U297" s="20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  <c r="CX297" s="21"/>
      <c r="CY297" s="21"/>
      <c r="CZ297" s="21"/>
      <c r="DA297" s="21"/>
      <c r="DB297" s="21"/>
      <c r="DC297" s="21"/>
      <c r="DD297" s="21"/>
      <c r="DE297" s="21"/>
      <c r="DF297" s="21"/>
      <c r="DG297" s="21"/>
      <c r="DH297" s="21"/>
      <c r="DI297" s="21"/>
      <c r="DJ297" s="21"/>
      <c r="DK297" s="21"/>
      <c r="DL297" s="21"/>
      <c r="DM297" s="21"/>
      <c r="DN297" s="21"/>
      <c r="DO297" s="21"/>
      <c r="DP297" s="21"/>
      <c r="DQ297" s="21"/>
      <c r="DR297" s="21"/>
      <c r="DS297" s="21"/>
      <c r="DT297" s="21"/>
      <c r="DU297" s="21"/>
      <c r="DV297" s="21"/>
      <c r="DW297" s="21"/>
      <c r="DX297" s="21"/>
      <c r="DY297" s="21"/>
      <c r="DZ297" s="21"/>
      <c r="EA297" s="21"/>
      <c r="EB297" s="21"/>
      <c r="EC297" s="21"/>
      <c r="ED297" s="21"/>
      <c r="EE297" s="21"/>
      <c r="EF297" s="21"/>
      <c r="EG297" s="21"/>
      <c r="EH297" s="21"/>
      <c r="EI297" s="21"/>
      <c r="EJ297" s="21"/>
      <c r="EK297" s="21"/>
      <c r="EL297" s="21"/>
      <c r="EM297" s="21"/>
      <c r="EN297" s="21"/>
      <c r="EO297" s="21"/>
      <c r="EP297" s="21"/>
      <c r="EQ297" s="21"/>
      <c r="ER297" s="21"/>
    </row>
    <row r="298" spans="1:148" ht="15">
      <c r="A298" s="16" t="s">
        <v>205</v>
      </c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</row>
    <row r="299" spans="1:130" ht="1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  <c r="BH299" s="38"/>
      <c r="BI299" s="38"/>
      <c r="BJ299" s="38"/>
      <c r="BK299" s="38"/>
      <c r="BL299" s="38"/>
      <c r="BM299" s="38"/>
      <c r="BN299" s="38"/>
      <c r="BO299" s="38"/>
      <c r="BP299" s="38"/>
      <c r="BQ299" s="38"/>
      <c r="BR299" s="38"/>
      <c r="BS299" s="38"/>
      <c r="BT299" s="38"/>
      <c r="BU299" s="38"/>
      <c r="BV299" s="38"/>
      <c r="BW299" s="38"/>
      <c r="BX299" s="38"/>
      <c r="BY299" s="38"/>
      <c r="BZ299" s="38"/>
      <c r="CA299" s="38"/>
      <c r="CB299" s="38"/>
      <c r="CC299" s="38"/>
      <c r="CD299" s="38"/>
      <c r="CE299" s="38"/>
      <c r="CF299" s="38"/>
      <c r="CG299" s="38"/>
      <c r="CH299" s="38"/>
      <c r="CI299" s="38"/>
      <c r="CJ299" s="38"/>
      <c r="CK299" s="38"/>
      <c r="CL299" s="38"/>
      <c r="CM299" s="38"/>
      <c r="CN299" s="38"/>
      <c r="CO299" s="38"/>
      <c r="CP299" s="38"/>
      <c r="CQ299" s="38"/>
      <c r="CR299" s="38"/>
      <c r="CS299" s="38"/>
      <c r="CT299" s="38"/>
      <c r="CU299" s="38"/>
      <c r="CV299" s="38"/>
      <c r="CW299" s="38"/>
      <c r="CX299" s="38"/>
      <c r="CY299" s="38"/>
      <c r="CZ299" s="38"/>
      <c r="DA299" s="38"/>
      <c r="DB299" s="38"/>
      <c r="DC299" s="38"/>
      <c r="DD299" s="38"/>
      <c r="DE299" s="38"/>
      <c r="DF299" s="38"/>
      <c r="DG299" s="38"/>
      <c r="DH299" s="38"/>
      <c r="DI299" s="38"/>
      <c r="DJ299" s="38"/>
      <c r="DK299" s="38"/>
      <c r="DL299" s="38"/>
      <c r="DM299" s="38"/>
      <c r="DN299" s="38"/>
      <c r="DO299" s="38"/>
      <c r="DP299" s="38"/>
      <c r="DQ299" s="38"/>
      <c r="DR299" s="38"/>
      <c r="DS299" s="38"/>
      <c r="DT299" s="38"/>
      <c r="DU299" s="38"/>
      <c r="DV299" s="38"/>
      <c r="DW299" s="38"/>
      <c r="DX299" s="38"/>
      <c r="DY299" s="38"/>
      <c r="DZ299" s="38"/>
    </row>
    <row r="300" spans="1:130" ht="1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8"/>
      <c r="BP300" s="38"/>
      <c r="BQ300" s="38"/>
      <c r="BR300" s="38"/>
      <c r="BS300" s="38"/>
      <c r="BT300" s="38"/>
      <c r="BU300" s="38"/>
      <c r="BV300" s="38"/>
      <c r="BW300" s="38"/>
      <c r="BX300" s="38"/>
      <c r="BY300" s="38"/>
      <c r="BZ300" s="38"/>
      <c r="CA300" s="38"/>
      <c r="CB300" s="38"/>
      <c r="CC300" s="38"/>
      <c r="CD300" s="38"/>
      <c r="CE300" s="38"/>
      <c r="CF300" s="38"/>
      <c r="CG300" s="38"/>
      <c r="CH300" s="38"/>
      <c r="CI300" s="38"/>
      <c r="CJ300" s="38"/>
      <c r="CK300" s="38"/>
      <c r="CL300" s="38"/>
      <c r="CM300" s="38"/>
      <c r="CN300" s="38"/>
      <c r="CO300" s="38"/>
      <c r="CP300" s="38"/>
      <c r="CQ300" s="38"/>
      <c r="CR300" s="38"/>
      <c r="CS300" s="38"/>
      <c r="CT300" s="38"/>
      <c r="CU300" s="38"/>
      <c r="CV300" s="38"/>
      <c r="CW300" s="38"/>
      <c r="CX300" s="38"/>
      <c r="CY300" s="38"/>
      <c r="CZ300" s="38"/>
      <c r="DA300" s="38"/>
      <c r="DB300" s="38"/>
      <c r="DC300" s="38"/>
      <c r="DD300" s="38"/>
      <c r="DE300" s="38"/>
      <c r="DF300" s="38"/>
      <c r="DG300" s="38"/>
      <c r="DH300" s="38"/>
      <c r="DI300" s="38"/>
      <c r="DJ300" s="38"/>
      <c r="DK300" s="38"/>
      <c r="DL300" s="38"/>
      <c r="DM300" s="38"/>
      <c r="DN300" s="38"/>
      <c r="DO300" s="38"/>
      <c r="DP300" s="38"/>
      <c r="DQ300" s="38"/>
      <c r="DR300" s="38"/>
      <c r="DS300" s="38"/>
      <c r="DT300" s="38"/>
      <c r="DU300" s="38"/>
      <c r="DV300" s="38"/>
      <c r="DW300" s="38"/>
      <c r="DX300" s="38"/>
      <c r="DY300" s="38"/>
      <c r="DZ300" s="38"/>
    </row>
  </sheetData>
  <sheetProtection/>
  <mergeCells count="34">
    <mergeCell ref="A300:DZ300"/>
    <mergeCell ref="R11:R14"/>
    <mergeCell ref="S11:S14"/>
    <mergeCell ref="I12:I14"/>
    <mergeCell ref="J12:J14"/>
    <mergeCell ref="T10:T14"/>
    <mergeCell ref="B3:T3"/>
    <mergeCell ref="B4:T4"/>
    <mergeCell ref="B5:T5"/>
    <mergeCell ref="Q10:S10"/>
    <mergeCell ref="C10:C14"/>
    <mergeCell ref="D10:D14"/>
    <mergeCell ref="I10:K10"/>
    <mergeCell ref="L10:O10"/>
    <mergeCell ref="P10:P14"/>
    <mergeCell ref="K12:K14"/>
    <mergeCell ref="A299:DZ299"/>
    <mergeCell ref="B6:T6"/>
    <mergeCell ref="B7:T7"/>
    <mergeCell ref="B8:T8"/>
    <mergeCell ref="B9:T9"/>
    <mergeCell ref="L12:L14"/>
    <mergeCell ref="I11:J11"/>
    <mergeCell ref="L11:M11"/>
    <mergeCell ref="N11:O11"/>
    <mergeCell ref="Q11:Q14"/>
    <mergeCell ref="M12:M14"/>
    <mergeCell ref="B10:B14"/>
    <mergeCell ref="O12:O14"/>
    <mergeCell ref="N12:N14"/>
    <mergeCell ref="E10:E14"/>
    <mergeCell ref="F10:F14"/>
    <mergeCell ref="G10:G14"/>
    <mergeCell ref="H10:H14"/>
  </mergeCells>
  <printOptions/>
  <pageMargins left="0" right="0" top="0.5905511811023623" bottom="0.3937007874015748" header="0.5118110236220472" footer="0.5118110236220472"/>
  <pageSetup fitToHeight="0" fitToWidth="1" horizontalDpi="600" verticalDpi="600" orientation="landscape" paperSize="9" scale="47" r:id="rId2"/>
  <headerFooter>
    <oddHeader>&amp;C&amp;П&amp;8&amp;Д  &amp;В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6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1:148" ht="18">
      <c r="A1" s="1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</row>
    <row r="2" spans="1:148" ht="15">
      <c r="A2" s="1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3"/>
      <c r="V2" s="3"/>
      <c r="W2" s="3"/>
      <c r="X2" s="3"/>
      <c r="Y2" s="4"/>
      <c r="Z2" s="4"/>
      <c r="AA2" s="4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20.25">
      <c r="A3" s="1" t="s">
        <v>0</v>
      </c>
      <c r="B3" s="41" t="s">
        <v>210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2"/>
      <c r="V3" s="2"/>
      <c r="W3" s="2"/>
      <c r="X3" s="2"/>
      <c r="Y3" s="2"/>
      <c r="Z3" s="2"/>
      <c r="AA3" s="2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15">
      <c r="A4" s="5" t="s">
        <v>3</v>
      </c>
      <c r="B4" s="42" t="s">
        <v>4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3"/>
      <c r="V4" s="3"/>
      <c r="W4" s="3"/>
      <c r="X4" s="3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95.25" customHeight="1">
      <c r="A5" s="6"/>
      <c r="B5" s="35" t="s">
        <v>5</v>
      </c>
      <c r="C5" s="32" t="s">
        <v>6</v>
      </c>
      <c r="D5" s="32" t="s">
        <v>7</v>
      </c>
      <c r="E5" s="32" t="s">
        <v>8</v>
      </c>
      <c r="F5" s="32" t="s">
        <v>9</v>
      </c>
      <c r="G5" s="32" t="s">
        <v>10</v>
      </c>
      <c r="H5" s="32" t="s">
        <v>11</v>
      </c>
      <c r="I5" s="43" t="s">
        <v>12</v>
      </c>
      <c r="J5" s="46"/>
      <c r="K5" s="44"/>
      <c r="L5" s="43" t="s">
        <v>13</v>
      </c>
      <c r="M5" s="46"/>
      <c r="N5" s="46"/>
      <c r="O5" s="44"/>
      <c r="P5" s="32" t="s">
        <v>14</v>
      </c>
      <c r="Q5" s="43" t="s">
        <v>15</v>
      </c>
      <c r="R5" s="46"/>
      <c r="S5" s="44"/>
      <c r="T5" s="32" t="s">
        <v>16</v>
      </c>
      <c r="U5" s="7"/>
      <c r="V5" s="3"/>
      <c r="W5" s="3"/>
      <c r="X5" s="3"/>
      <c r="Y5" s="4"/>
      <c r="Z5" s="4"/>
      <c r="AA5" s="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25.5" customHeight="1">
      <c r="A6" s="7"/>
      <c r="B6" s="36"/>
      <c r="C6" s="33"/>
      <c r="D6" s="33"/>
      <c r="E6" s="33"/>
      <c r="F6" s="33"/>
      <c r="G6" s="33"/>
      <c r="H6" s="33"/>
      <c r="I6" s="43" t="s">
        <v>17</v>
      </c>
      <c r="J6" s="44"/>
      <c r="K6" s="8" t="s">
        <v>18</v>
      </c>
      <c r="L6" s="43" t="s">
        <v>19</v>
      </c>
      <c r="M6" s="44"/>
      <c r="N6" s="43" t="s">
        <v>20</v>
      </c>
      <c r="O6" s="44"/>
      <c r="P6" s="33"/>
      <c r="Q6" s="32" t="s">
        <v>21</v>
      </c>
      <c r="R6" s="32" t="s">
        <v>22</v>
      </c>
      <c r="S6" s="32" t="s">
        <v>23</v>
      </c>
      <c r="T6" s="33"/>
      <c r="U6" s="7"/>
      <c r="V6" s="3"/>
      <c r="W6" s="3"/>
      <c r="X6" s="3"/>
      <c r="Y6" s="4"/>
      <c r="Z6" s="4"/>
      <c r="AA6" s="4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15">
      <c r="A7" s="7"/>
      <c r="B7" s="36"/>
      <c r="C7" s="33"/>
      <c r="D7" s="33"/>
      <c r="E7" s="33"/>
      <c r="F7" s="33"/>
      <c r="G7" s="33"/>
      <c r="H7" s="33"/>
      <c r="I7" s="32" t="s">
        <v>24</v>
      </c>
      <c r="J7" s="32" t="s">
        <v>25</v>
      </c>
      <c r="K7" s="32" t="s">
        <v>26</v>
      </c>
      <c r="L7" s="32" t="s">
        <v>22</v>
      </c>
      <c r="M7" s="32" t="s">
        <v>23</v>
      </c>
      <c r="N7" s="32" t="s">
        <v>22</v>
      </c>
      <c r="O7" s="32" t="s">
        <v>23</v>
      </c>
      <c r="P7" s="33"/>
      <c r="Q7" s="33"/>
      <c r="R7" s="33"/>
      <c r="S7" s="33"/>
      <c r="T7" s="33"/>
      <c r="U7" s="7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</row>
    <row r="8" spans="1:148" ht="15">
      <c r="A8" s="7"/>
      <c r="B8" s="36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7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ht="15">
      <c r="A9" s="9"/>
      <c r="B9" s="37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7"/>
      <c r="V9" s="3" t="s">
        <v>27</v>
      </c>
      <c r="W9" s="3" t="s">
        <v>27</v>
      </c>
      <c r="X9" s="3" t="s">
        <v>27</v>
      </c>
      <c r="Y9" s="3" t="s">
        <v>27</v>
      </c>
      <c r="Z9" s="3" t="s">
        <v>27</v>
      </c>
      <c r="AA9" s="3" t="s">
        <v>27</v>
      </c>
      <c r="AB9" s="3" t="s">
        <v>27</v>
      </c>
      <c r="AC9" s="3" t="s">
        <v>27</v>
      </c>
      <c r="AD9" s="3" t="s">
        <v>27</v>
      </c>
      <c r="AE9" s="3" t="s">
        <v>27</v>
      </c>
      <c r="AF9" s="3" t="s">
        <v>27</v>
      </c>
      <c r="AG9" s="3" t="s">
        <v>27</v>
      </c>
      <c r="AH9" s="3" t="s">
        <v>27</v>
      </c>
      <c r="AI9" s="3" t="s">
        <v>27</v>
      </c>
      <c r="AJ9" s="3" t="s">
        <v>27</v>
      </c>
      <c r="AK9" s="3" t="s">
        <v>27</v>
      </c>
      <c r="AL9" s="3" t="s">
        <v>27</v>
      </c>
      <c r="AM9" s="3" t="s">
        <v>27</v>
      </c>
      <c r="AN9" s="3" t="s">
        <v>27</v>
      </c>
      <c r="AO9" s="3" t="s">
        <v>27</v>
      </c>
      <c r="AP9" s="3" t="s">
        <v>27</v>
      </c>
      <c r="AQ9" s="3" t="s">
        <v>27</v>
      </c>
      <c r="AR9" s="3" t="s">
        <v>27</v>
      </c>
      <c r="AS9" s="3" t="s">
        <v>27</v>
      </c>
      <c r="AT9" s="3" t="s">
        <v>27</v>
      </c>
      <c r="AU9" s="3" t="s">
        <v>27</v>
      </c>
      <c r="AV9" s="3" t="s">
        <v>27</v>
      </c>
      <c r="AW9" s="3" t="s">
        <v>27</v>
      </c>
      <c r="AX9" s="3" t="s">
        <v>27</v>
      </c>
      <c r="AY9" s="3" t="s">
        <v>27</v>
      </c>
      <c r="AZ9" s="3" t="s">
        <v>27</v>
      </c>
      <c r="BA9" s="3" t="s">
        <v>27</v>
      </c>
      <c r="BB9" s="3" t="s">
        <v>27</v>
      </c>
      <c r="BC9" s="3" t="s">
        <v>27</v>
      </c>
      <c r="BD9" s="3" t="s">
        <v>27</v>
      </c>
      <c r="BE9" s="3" t="s">
        <v>27</v>
      </c>
      <c r="BF9" s="3" t="s">
        <v>27</v>
      </c>
      <c r="BG9" s="3" t="s">
        <v>27</v>
      </c>
      <c r="BH9" s="3" t="s">
        <v>27</v>
      </c>
      <c r="BI9" s="3" t="s">
        <v>27</v>
      </c>
      <c r="BJ9" s="3" t="s">
        <v>27</v>
      </c>
      <c r="BK9" s="3" t="s">
        <v>27</v>
      </c>
      <c r="BL9" s="3" t="s">
        <v>27</v>
      </c>
      <c r="BM9" s="3" t="s">
        <v>27</v>
      </c>
      <c r="BN9" s="3" t="s">
        <v>27</v>
      </c>
      <c r="BO9" s="3" t="s">
        <v>27</v>
      </c>
      <c r="BP9" s="3" t="s">
        <v>27</v>
      </c>
      <c r="BQ9" s="3" t="s">
        <v>27</v>
      </c>
      <c r="BR9" s="3" t="s">
        <v>27</v>
      </c>
      <c r="BS9" s="3" t="s">
        <v>27</v>
      </c>
      <c r="BT9" s="3" t="s">
        <v>27</v>
      </c>
      <c r="BU9" s="3" t="s">
        <v>27</v>
      </c>
      <c r="BV9" s="3" t="s">
        <v>27</v>
      </c>
      <c r="BW9" s="3" t="s">
        <v>27</v>
      </c>
      <c r="BX9" s="3" t="s">
        <v>27</v>
      </c>
      <c r="BY9" s="3" t="s">
        <v>27</v>
      </c>
      <c r="BZ9" s="3" t="s">
        <v>27</v>
      </c>
      <c r="CA9" s="3" t="s">
        <v>27</v>
      </c>
      <c r="CB9" s="3" t="s">
        <v>27</v>
      </c>
      <c r="CC9" s="3" t="s">
        <v>27</v>
      </c>
      <c r="CD9" s="3" t="s">
        <v>27</v>
      </c>
      <c r="CE9" s="3" t="s">
        <v>27</v>
      </c>
      <c r="CF9" s="3" t="s">
        <v>27</v>
      </c>
      <c r="CG9" s="3" t="s">
        <v>27</v>
      </c>
      <c r="CH9" s="3" t="s">
        <v>27</v>
      </c>
      <c r="CI9" s="3" t="s">
        <v>27</v>
      </c>
      <c r="CJ9" s="3" t="s">
        <v>27</v>
      </c>
      <c r="CK9" s="3" t="s">
        <v>27</v>
      </c>
      <c r="CL9" s="3" t="s">
        <v>27</v>
      </c>
      <c r="CM9" s="3" t="s">
        <v>27</v>
      </c>
      <c r="CN9" s="3" t="s">
        <v>27</v>
      </c>
      <c r="CO9" s="3" t="s">
        <v>27</v>
      </c>
      <c r="CP9" s="3" t="s">
        <v>27</v>
      </c>
      <c r="CQ9" s="3" t="s">
        <v>27</v>
      </c>
      <c r="CR9" s="3" t="s">
        <v>27</v>
      </c>
      <c r="CS9" s="3" t="s">
        <v>27</v>
      </c>
      <c r="CT9" s="3" t="s">
        <v>27</v>
      </c>
      <c r="CU9" s="3" t="s">
        <v>27</v>
      </c>
      <c r="CV9" s="3" t="s">
        <v>27</v>
      </c>
      <c r="CW9" s="3" t="s">
        <v>27</v>
      </c>
      <c r="CX9" s="3" t="s">
        <v>27</v>
      </c>
      <c r="CY9" s="3" t="s">
        <v>27</v>
      </c>
      <c r="CZ9" s="3" t="s">
        <v>27</v>
      </c>
      <c r="DA9" s="3" t="s">
        <v>27</v>
      </c>
      <c r="DB9" s="3" t="s">
        <v>27</v>
      </c>
      <c r="DC9" s="3" t="s">
        <v>27</v>
      </c>
      <c r="DD9" s="3" t="s">
        <v>27</v>
      </c>
      <c r="DE9" s="3" t="s">
        <v>27</v>
      </c>
      <c r="DF9" s="3" t="s">
        <v>27</v>
      </c>
      <c r="DG9" s="3" t="s">
        <v>27</v>
      </c>
      <c r="DH9" s="3" t="s">
        <v>27</v>
      </c>
      <c r="DI9" s="3" t="s">
        <v>27</v>
      </c>
      <c r="DJ9" s="3" t="s">
        <v>27</v>
      </c>
      <c r="DK9" s="3" t="s">
        <v>27</v>
      </c>
      <c r="DL9" s="3" t="s">
        <v>27</v>
      </c>
      <c r="DM9" s="3" t="s">
        <v>27</v>
      </c>
      <c r="DN9" s="3" t="s">
        <v>27</v>
      </c>
      <c r="DO9" s="3" t="s">
        <v>27</v>
      </c>
      <c r="DP9" s="3" t="s">
        <v>27</v>
      </c>
      <c r="DQ9" s="3" t="s">
        <v>27</v>
      </c>
      <c r="DR9" s="3" t="s">
        <v>27</v>
      </c>
      <c r="DS9" s="3" t="s">
        <v>27</v>
      </c>
      <c r="DT9" s="3" t="s">
        <v>27</v>
      </c>
      <c r="DU9" s="3" t="s">
        <v>27</v>
      </c>
      <c r="DV9" s="3" t="s">
        <v>27</v>
      </c>
      <c r="DW9" s="3" t="s">
        <v>27</v>
      </c>
      <c r="DX9" s="3" t="s">
        <v>27</v>
      </c>
      <c r="DY9" s="3" t="s">
        <v>27</v>
      </c>
      <c r="DZ9" s="3" t="s">
        <v>27</v>
      </c>
      <c r="EA9" s="3" t="s">
        <v>27</v>
      </c>
      <c r="EB9" s="3" t="s">
        <v>27</v>
      </c>
      <c r="EC9" s="3" t="s">
        <v>27</v>
      </c>
      <c r="ED9" s="3" t="s">
        <v>27</v>
      </c>
      <c r="EE9" s="3" t="s">
        <v>27</v>
      </c>
      <c r="EF9" s="3" t="s">
        <v>27</v>
      </c>
      <c r="EG9" s="3" t="s">
        <v>27</v>
      </c>
      <c r="EH9" s="3" t="s">
        <v>27</v>
      </c>
      <c r="EI9" s="3" t="s">
        <v>27</v>
      </c>
      <c r="EJ9" s="3" t="s">
        <v>27</v>
      </c>
      <c r="EK9" s="3" t="s">
        <v>27</v>
      </c>
      <c r="EL9" s="3" t="s">
        <v>27</v>
      </c>
      <c r="EM9" s="3" t="s">
        <v>27</v>
      </c>
      <c r="EN9" s="3" t="s">
        <v>27</v>
      </c>
      <c r="EO9" s="3" t="s">
        <v>27</v>
      </c>
      <c r="EP9" s="3" t="s">
        <v>27</v>
      </c>
      <c r="EQ9" s="3" t="s">
        <v>27</v>
      </c>
      <c r="ER9" s="3" t="s">
        <v>27</v>
      </c>
    </row>
    <row r="10" spans="1:148" ht="15">
      <c r="A10" s="47"/>
      <c r="B10" s="48" t="s">
        <v>30</v>
      </c>
      <c r="C10" s="48" t="s">
        <v>51</v>
      </c>
      <c r="D10" s="48" t="s">
        <v>57</v>
      </c>
      <c r="E10" s="48" t="s">
        <v>64</v>
      </c>
      <c r="F10" s="48" t="s">
        <v>81</v>
      </c>
      <c r="G10" s="48" t="s">
        <v>86</v>
      </c>
      <c r="H10" s="48" t="s">
        <v>89</v>
      </c>
      <c r="I10" s="48" t="s">
        <v>74</v>
      </c>
      <c r="J10" s="48" t="s">
        <v>91</v>
      </c>
      <c r="K10" s="48" t="s">
        <v>96</v>
      </c>
      <c r="L10" s="48" t="s">
        <v>102</v>
      </c>
      <c r="M10" s="48" t="s">
        <v>105</v>
      </c>
      <c r="N10" s="48" t="s">
        <v>113</v>
      </c>
      <c r="O10" s="48" t="s">
        <v>115</v>
      </c>
      <c r="P10" s="48" t="s">
        <v>117</v>
      </c>
      <c r="Q10" s="48" t="s">
        <v>122</v>
      </c>
      <c r="R10" s="48" t="s">
        <v>125</v>
      </c>
      <c r="S10" s="48" t="s">
        <v>130</v>
      </c>
      <c r="T10" s="48" t="s">
        <v>132</v>
      </c>
      <c r="U10" s="7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</row>
    <row r="11" spans="1:148" ht="15" hidden="1">
      <c r="A11" s="3" t="s">
        <v>28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</row>
    <row r="12" spans="1:148" ht="15">
      <c r="A12" s="11" t="s">
        <v>29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23">
        <f>0</f>
        <v>0</v>
      </c>
      <c r="N12" s="13"/>
      <c r="O12" s="23">
        <f>0</f>
        <v>0</v>
      </c>
      <c r="P12" s="23">
        <f>0</f>
        <v>0</v>
      </c>
      <c r="Q12" s="13"/>
      <c r="R12" s="13"/>
      <c r="S12" s="23">
        <f>0</f>
        <v>0</v>
      </c>
      <c r="T12" s="13"/>
      <c r="U12" s="7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</row>
    <row r="13" spans="1:148" s="22" customFormat="1" ht="15">
      <c r="A13" s="18" t="s">
        <v>206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5">
        <v>0</v>
      </c>
      <c r="N13" s="19"/>
      <c r="O13" s="25">
        <v>0</v>
      </c>
      <c r="P13" s="25">
        <v>0</v>
      </c>
      <c r="Q13" s="19"/>
      <c r="R13" s="19"/>
      <c r="S13" s="25">
        <v>0</v>
      </c>
      <c r="T13" s="19"/>
      <c r="U13" s="20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</row>
    <row r="14" spans="1:148" ht="15">
      <c r="A14" s="16" t="s">
        <v>205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</row>
    <row r="15" spans="1:130" ht="1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</row>
    <row r="16" spans="1:130" ht="1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</row>
  </sheetData>
  <sheetProtection/>
  <mergeCells count="31">
    <mergeCell ref="A15:DZ15"/>
    <mergeCell ref="A16:DZ16"/>
    <mergeCell ref="R6:R9"/>
    <mergeCell ref="S6:S9"/>
    <mergeCell ref="I7:I9"/>
    <mergeCell ref="J7:J9"/>
    <mergeCell ref="K7:K9"/>
    <mergeCell ref="L7:L9"/>
    <mergeCell ref="M7:M9"/>
    <mergeCell ref="N7:N9"/>
    <mergeCell ref="O7:O9"/>
    <mergeCell ref="H5:H9"/>
    <mergeCell ref="I5:K5"/>
    <mergeCell ref="L5:O5"/>
    <mergeCell ref="P5:P9"/>
    <mergeCell ref="Q5:S5"/>
    <mergeCell ref="T5:T9"/>
    <mergeCell ref="I6:J6"/>
    <mergeCell ref="L6:M6"/>
    <mergeCell ref="N6:O6"/>
    <mergeCell ref="Q6:Q9"/>
    <mergeCell ref="B1:T1"/>
    <mergeCell ref="B2:T2"/>
    <mergeCell ref="B3:T3"/>
    <mergeCell ref="B4:T4"/>
    <mergeCell ref="B5:B9"/>
    <mergeCell ref="C5:C9"/>
    <mergeCell ref="D5:D9"/>
    <mergeCell ref="E5:E9"/>
    <mergeCell ref="F5:F9"/>
    <mergeCell ref="G5:G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R19"/>
  <sheetViews>
    <sheetView zoomScalePageLayoutView="0" workbookViewId="0" topLeftCell="J16">
      <selection activeCell="S10" sqref="S10:S16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1:148" ht="15">
      <c r="A1" s="1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3"/>
      <c r="V1" s="3"/>
      <c r="W1" s="3"/>
      <c r="X1" s="3"/>
      <c r="Y1" s="4"/>
      <c r="Z1" s="4"/>
      <c r="AA1" s="4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</row>
    <row r="2" spans="1:148" ht="20.25">
      <c r="A2" s="1" t="s">
        <v>0</v>
      </c>
      <c r="B2" s="41" t="s">
        <v>211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2"/>
      <c r="V2" s="2"/>
      <c r="W2" s="2"/>
      <c r="X2" s="2"/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15">
      <c r="A3" s="5" t="s">
        <v>3</v>
      </c>
      <c r="B3" s="42" t="s">
        <v>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3"/>
      <c r="V3" s="3"/>
      <c r="W3" s="3"/>
      <c r="X3" s="3"/>
      <c r="Y3" s="4"/>
      <c r="Z3" s="4"/>
      <c r="AA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95.25" customHeight="1">
      <c r="A4" s="6"/>
      <c r="B4" s="35" t="s">
        <v>5</v>
      </c>
      <c r="C4" s="32" t="s">
        <v>6</v>
      </c>
      <c r="D4" s="32" t="s">
        <v>7</v>
      </c>
      <c r="E4" s="32" t="s">
        <v>8</v>
      </c>
      <c r="F4" s="32" t="s">
        <v>9</v>
      </c>
      <c r="G4" s="32" t="s">
        <v>10</v>
      </c>
      <c r="H4" s="32" t="s">
        <v>11</v>
      </c>
      <c r="I4" s="43" t="s">
        <v>12</v>
      </c>
      <c r="J4" s="46"/>
      <c r="K4" s="44"/>
      <c r="L4" s="43" t="s">
        <v>13</v>
      </c>
      <c r="M4" s="46"/>
      <c r="N4" s="46"/>
      <c r="O4" s="44"/>
      <c r="P4" s="32" t="s">
        <v>14</v>
      </c>
      <c r="Q4" s="43" t="s">
        <v>15</v>
      </c>
      <c r="R4" s="46"/>
      <c r="S4" s="44"/>
      <c r="T4" s="32" t="s">
        <v>16</v>
      </c>
      <c r="U4" s="7"/>
      <c r="V4" s="3"/>
      <c r="W4" s="3"/>
      <c r="X4" s="3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25.5" customHeight="1">
      <c r="A5" s="7"/>
      <c r="B5" s="36"/>
      <c r="C5" s="33"/>
      <c r="D5" s="33"/>
      <c r="E5" s="33"/>
      <c r="F5" s="33"/>
      <c r="G5" s="33"/>
      <c r="H5" s="33"/>
      <c r="I5" s="43" t="s">
        <v>17</v>
      </c>
      <c r="J5" s="44"/>
      <c r="K5" s="8" t="s">
        <v>18</v>
      </c>
      <c r="L5" s="43" t="s">
        <v>19</v>
      </c>
      <c r="M5" s="44"/>
      <c r="N5" s="43" t="s">
        <v>20</v>
      </c>
      <c r="O5" s="44"/>
      <c r="P5" s="33"/>
      <c r="Q5" s="32" t="s">
        <v>21</v>
      </c>
      <c r="R5" s="32" t="s">
        <v>22</v>
      </c>
      <c r="S5" s="32" t="s">
        <v>23</v>
      </c>
      <c r="T5" s="33"/>
      <c r="U5" s="7"/>
      <c r="V5" s="3"/>
      <c r="W5" s="3"/>
      <c r="X5" s="3"/>
      <c r="Y5" s="4"/>
      <c r="Z5" s="4"/>
      <c r="AA5" s="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15">
      <c r="A6" s="7"/>
      <c r="B6" s="36"/>
      <c r="C6" s="33"/>
      <c r="D6" s="33"/>
      <c r="E6" s="33"/>
      <c r="F6" s="33"/>
      <c r="G6" s="33"/>
      <c r="H6" s="33"/>
      <c r="I6" s="32" t="s">
        <v>24</v>
      </c>
      <c r="J6" s="32" t="s">
        <v>25</v>
      </c>
      <c r="K6" s="32" t="s">
        <v>26</v>
      </c>
      <c r="L6" s="32" t="s">
        <v>22</v>
      </c>
      <c r="M6" s="32" t="s">
        <v>23</v>
      </c>
      <c r="N6" s="32" t="s">
        <v>22</v>
      </c>
      <c r="O6" s="32" t="s">
        <v>23</v>
      </c>
      <c r="P6" s="33"/>
      <c r="Q6" s="33"/>
      <c r="R6" s="33"/>
      <c r="S6" s="33"/>
      <c r="T6" s="33"/>
      <c r="U6" s="7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15">
      <c r="A7" s="7"/>
      <c r="B7" s="36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7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</row>
    <row r="8" spans="1:148" ht="15">
      <c r="A8" s="9"/>
      <c r="B8" s="37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7"/>
      <c r="V8" s="3" t="s">
        <v>27</v>
      </c>
      <c r="W8" s="3" t="s">
        <v>27</v>
      </c>
      <c r="X8" s="3" t="s">
        <v>27</v>
      </c>
      <c r="Y8" s="3" t="s">
        <v>27</v>
      </c>
      <c r="Z8" s="3" t="s">
        <v>27</v>
      </c>
      <c r="AA8" s="3" t="s">
        <v>27</v>
      </c>
      <c r="AB8" s="3" t="s">
        <v>27</v>
      </c>
      <c r="AC8" s="3" t="s">
        <v>27</v>
      </c>
      <c r="AD8" s="3" t="s">
        <v>27</v>
      </c>
      <c r="AE8" s="3" t="s">
        <v>27</v>
      </c>
      <c r="AF8" s="3" t="s">
        <v>27</v>
      </c>
      <c r="AG8" s="3" t="s">
        <v>27</v>
      </c>
      <c r="AH8" s="3" t="s">
        <v>27</v>
      </c>
      <c r="AI8" s="3" t="s">
        <v>27</v>
      </c>
      <c r="AJ8" s="3" t="s">
        <v>27</v>
      </c>
      <c r="AK8" s="3" t="s">
        <v>27</v>
      </c>
      <c r="AL8" s="3" t="s">
        <v>27</v>
      </c>
      <c r="AM8" s="3" t="s">
        <v>27</v>
      </c>
      <c r="AN8" s="3" t="s">
        <v>27</v>
      </c>
      <c r="AO8" s="3" t="s">
        <v>27</v>
      </c>
      <c r="AP8" s="3" t="s">
        <v>27</v>
      </c>
      <c r="AQ8" s="3" t="s">
        <v>27</v>
      </c>
      <c r="AR8" s="3" t="s">
        <v>27</v>
      </c>
      <c r="AS8" s="3" t="s">
        <v>27</v>
      </c>
      <c r="AT8" s="3" t="s">
        <v>27</v>
      </c>
      <c r="AU8" s="3" t="s">
        <v>27</v>
      </c>
      <c r="AV8" s="3" t="s">
        <v>27</v>
      </c>
      <c r="AW8" s="3" t="s">
        <v>27</v>
      </c>
      <c r="AX8" s="3" t="s">
        <v>27</v>
      </c>
      <c r="AY8" s="3" t="s">
        <v>27</v>
      </c>
      <c r="AZ8" s="3" t="s">
        <v>27</v>
      </c>
      <c r="BA8" s="3" t="s">
        <v>27</v>
      </c>
      <c r="BB8" s="3" t="s">
        <v>27</v>
      </c>
      <c r="BC8" s="3" t="s">
        <v>27</v>
      </c>
      <c r="BD8" s="3" t="s">
        <v>27</v>
      </c>
      <c r="BE8" s="3" t="s">
        <v>27</v>
      </c>
      <c r="BF8" s="3" t="s">
        <v>27</v>
      </c>
      <c r="BG8" s="3" t="s">
        <v>27</v>
      </c>
      <c r="BH8" s="3" t="s">
        <v>27</v>
      </c>
      <c r="BI8" s="3" t="s">
        <v>27</v>
      </c>
      <c r="BJ8" s="3" t="s">
        <v>27</v>
      </c>
      <c r="BK8" s="3" t="s">
        <v>27</v>
      </c>
      <c r="BL8" s="3" t="s">
        <v>27</v>
      </c>
      <c r="BM8" s="3" t="s">
        <v>27</v>
      </c>
      <c r="BN8" s="3" t="s">
        <v>27</v>
      </c>
      <c r="BO8" s="3" t="s">
        <v>27</v>
      </c>
      <c r="BP8" s="3" t="s">
        <v>27</v>
      </c>
      <c r="BQ8" s="3" t="s">
        <v>27</v>
      </c>
      <c r="BR8" s="3" t="s">
        <v>27</v>
      </c>
      <c r="BS8" s="3" t="s">
        <v>27</v>
      </c>
      <c r="BT8" s="3" t="s">
        <v>27</v>
      </c>
      <c r="BU8" s="3" t="s">
        <v>27</v>
      </c>
      <c r="BV8" s="3" t="s">
        <v>27</v>
      </c>
      <c r="BW8" s="3" t="s">
        <v>27</v>
      </c>
      <c r="BX8" s="3" t="s">
        <v>27</v>
      </c>
      <c r="BY8" s="3" t="s">
        <v>27</v>
      </c>
      <c r="BZ8" s="3" t="s">
        <v>27</v>
      </c>
      <c r="CA8" s="3" t="s">
        <v>27</v>
      </c>
      <c r="CB8" s="3" t="s">
        <v>27</v>
      </c>
      <c r="CC8" s="3" t="s">
        <v>27</v>
      </c>
      <c r="CD8" s="3" t="s">
        <v>27</v>
      </c>
      <c r="CE8" s="3" t="s">
        <v>27</v>
      </c>
      <c r="CF8" s="3" t="s">
        <v>27</v>
      </c>
      <c r="CG8" s="3" t="s">
        <v>27</v>
      </c>
      <c r="CH8" s="3" t="s">
        <v>27</v>
      </c>
      <c r="CI8" s="3" t="s">
        <v>27</v>
      </c>
      <c r="CJ8" s="3" t="s">
        <v>27</v>
      </c>
      <c r="CK8" s="3" t="s">
        <v>27</v>
      </c>
      <c r="CL8" s="3" t="s">
        <v>27</v>
      </c>
      <c r="CM8" s="3" t="s">
        <v>27</v>
      </c>
      <c r="CN8" s="3" t="s">
        <v>27</v>
      </c>
      <c r="CO8" s="3" t="s">
        <v>27</v>
      </c>
      <c r="CP8" s="3" t="s">
        <v>27</v>
      </c>
      <c r="CQ8" s="3" t="s">
        <v>27</v>
      </c>
      <c r="CR8" s="3" t="s">
        <v>27</v>
      </c>
      <c r="CS8" s="3" t="s">
        <v>27</v>
      </c>
      <c r="CT8" s="3" t="s">
        <v>27</v>
      </c>
      <c r="CU8" s="3" t="s">
        <v>27</v>
      </c>
      <c r="CV8" s="3" t="s">
        <v>27</v>
      </c>
      <c r="CW8" s="3" t="s">
        <v>27</v>
      </c>
      <c r="CX8" s="3" t="s">
        <v>27</v>
      </c>
      <c r="CY8" s="3" t="s">
        <v>27</v>
      </c>
      <c r="CZ8" s="3" t="s">
        <v>27</v>
      </c>
      <c r="DA8" s="3" t="s">
        <v>27</v>
      </c>
      <c r="DB8" s="3" t="s">
        <v>27</v>
      </c>
      <c r="DC8" s="3" t="s">
        <v>27</v>
      </c>
      <c r="DD8" s="3" t="s">
        <v>27</v>
      </c>
      <c r="DE8" s="3" t="s">
        <v>27</v>
      </c>
      <c r="DF8" s="3" t="s">
        <v>27</v>
      </c>
      <c r="DG8" s="3" t="s">
        <v>27</v>
      </c>
      <c r="DH8" s="3" t="s">
        <v>27</v>
      </c>
      <c r="DI8" s="3" t="s">
        <v>27</v>
      </c>
      <c r="DJ8" s="3" t="s">
        <v>27</v>
      </c>
      <c r="DK8" s="3" t="s">
        <v>27</v>
      </c>
      <c r="DL8" s="3" t="s">
        <v>27</v>
      </c>
      <c r="DM8" s="3" t="s">
        <v>27</v>
      </c>
      <c r="DN8" s="3" t="s">
        <v>27</v>
      </c>
      <c r="DO8" s="3" t="s">
        <v>27</v>
      </c>
      <c r="DP8" s="3" t="s">
        <v>27</v>
      </c>
      <c r="DQ8" s="3" t="s">
        <v>27</v>
      </c>
      <c r="DR8" s="3" t="s">
        <v>27</v>
      </c>
      <c r="DS8" s="3" t="s">
        <v>27</v>
      </c>
      <c r="DT8" s="3" t="s">
        <v>27</v>
      </c>
      <c r="DU8" s="3" t="s">
        <v>27</v>
      </c>
      <c r="DV8" s="3" t="s">
        <v>27</v>
      </c>
      <c r="DW8" s="3" t="s">
        <v>27</v>
      </c>
      <c r="DX8" s="3" t="s">
        <v>27</v>
      </c>
      <c r="DY8" s="3" t="s">
        <v>27</v>
      </c>
      <c r="DZ8" s="3" t="s">
        <v>27</v>
      </c>
      <c r="EA8" s="3" t="s">
        <v>27</v>
      </c>
      <c r="EB8" s="3" t="s">
        <v>27</v>
      </c>
      <c r="EC8" s="3" t="s">
        <v>27</v>
      </c>
      <c r="ED8" s="3" t="s">
        <v>27</v>
      </c>
      <c r="EE8" s="3" t="s">
        <v>27</v>
      </c>
      <c r="EF8" s="3" t="s">
        <v>27</v>
      </c>
      <c r="EG8" s="3" t="s">
        <v>27</v>
      </c>
      <c r="EH8" s="3" t="s">
        <v>27</v>
      </c>
      <c r="EI8" s="3" t="s">
        <v>27</v>
      </c>
      <c r="EJ8" s="3" t="s">
        <v>27</v>
      </c>
      <c r="EK8" s="3" t="s">
        <v>27</v>
      </c>
      <c r="EL8" s="3" t="s">
        <v>27</v>
      </c>
      <c r="EM8" s="3" t="s">
        <v>27</v>
      </c>
      <c r="EN8" s="3" t="s">
        <v>27</v>
      </c>
      <c r="EO8" s="3" t="s">
        <v>27</v>
      </c>
      <c r="EP8" s="3" t="s">
        <v>27</v>
      </c>
      <c r="EQ8" s="3" t="s">
        <v>27</v>
      </c>
      <c r="ER8" s="3" t="s">
        <v>27</v>
      </c>
    </row>
    <row r="9" spans="1:148" ht="15" hidden="1">
      <c r="A9" s="3" t="s">
        <v>28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</row>
    <row r="10" spans="1:148" ht="293.25">
      <c r="A10" s="11" t="s">
        <v>29</v>
      </c>
      <c r="B10" s="12" t="s">
        <v>30</v>
      </c>
      <c r="C10" s="13" t="s">
        <v>212</v>
      </c>
      <c r="D10" s="23">
        <f>6000000</f>
        <v>6000000</v>
      </c>
      <c r="E10" s="13" t="s">
        <v>213</v>
      </c>
      <c r="F10" s="13" t="s">
        <v>214</v>
      </c>
      <c r="G10" s="13" t="s">
        <v>215</v>
      </c>
      <c r="H10" s="13" t="s">
        <v>216</v>
      </c>
      <c r="I10" s="13" t="s">
        <v>217</v>
      </c>
      <c r="J10" s="13" t="s">
        <v>218</v>
      </c>
      <c r="K10" s="13" t="s">
        <v>219</v>
      </c>
      <c r="L10" s="13"/>
      <c r="M10" s="23"/>
      <c r="N10" s="13"/>
      <c r="O10" s="23"/>
      <c r="P10" s="23">
        <f>109341720</f>
        <v>109341720</v>
      </c>
      <c r="Q10" s="13"/>
      <c r="R10" s="13"/>
      <c r="S10" s="23"/>
      <c r="T10" s="13" t="s">
        <v>220</v>
      </c>
      <c r="U10" s="7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</row>
    <row r="11" spans="1:148" ht="267.75">
      <c r="A11" s="11" t="s">
        <v>29</v>
      </c>
      <c r="B11" s="12" t="s">
        <v>51</v>
      </c>
      <c r="C11" s="13" t="s">
        <v>221</v>
      </c>
      <c r="D11" s="23">
        <f>115368000</f>
        <v>115368000</v>
      </c>
      <c r="E11" s="13" t="s">
        <v>222</v>
      </c>
      <c r="F11" s="13" t="s">
        <v>223</v>
      </c>
      <c r="G11" s="13" t="s">
        <v>215</v>
      </c>
      <c r="H11" s="13" t="s">
        <v>224</v>
      </c>
      <c r="I11" s="13" t="s">
        <v>225</v>
      </c>
      <c r="J11" s="13" t="s">
        <v>226</v>
      </c>
      <c r="K11" s="12" t="s">
        <v>105</v>
      </c>
      <c r="L11" s="13"/>
      <c r="M11" s="23"/>
      <c r="N11" s="13"/>
      <c r="O11" s="23"/>
      <c r="P11" s="23">
        <f>0</f>
        <v>0</v>
      </c>
      <c r="Q11" s="13"/>
      <c r="R11" s="13"/>
      <c r="S11" s="23"/>
      <c r="T11" s="13" t="s">
        <v>227</v>
      </c>
      <c r="U11" s="7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</row>
    <row r="12" spans="1:148" ht="114.75">
      <c r="A12" s="11" t="s">
        <v>29</v>
      </c>
      <c r="B12" s="12" t="s">
        <v>57</v>
      </c>
      <c r="C12" s="13" t="s">
        <v>228</v>
      </c>
      <c r="D12" s="23">
        <f>30000000</f>
        <v>30000000</v>
      </c>
      <c r="E12" s="13" t="s">
        <v>229</v>
      </c>
      <c r="F12" s="13" t="s">
        <v>230</v>
      </c>
      <c r="G12" s="13" t="s">
        <v>215</v>
      </c>
      <c r="H12" s="13" t="s">
        <v>231</v>
      </c>
      <c r="I12" s="13" t="s">
        <v>232</v>
      </c>
      <c r="J12" s="13" t="s">
        <v>233</v>
      </c>
      <c r="K12" s="12" t="s">
        <v>234</v>
      </c>
      <c r="L12" s="13"/>
      <c r="M12" s="23"/>
      <c r="N12" s="13"/>
      <c r="O12" s="23"/>
      <c r="P12" s="23">
        <f>21750000</f>
        <v>21750000</v>
      </c>
      <c r="Q12" s="13"/>
      <c r="R12" s="13"/>
      <c r="S12" s="23"/>
      <c r="T12" s="13" t="s">
        <v>235</v>
      </c>
      <c r="U12" s="7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</row>
    <row r="13" spans="1:148" ht="344.25">
      <c r="A13" s="11" t="s">
        <v>29</v>
      </c>
      <c r="B13" s="12" t="s">
        <v>64</v>
      </c>
      <c r="C13" s="13" t="s">
        <v>236</v>
      </c>
      <c r="D13" s="23">
        <f>106789253.69</f>
        <v>106789253.69</v>
      </c>
      <c r="E13" s="13" t="s">
        <v>237</v>
      </c>
      <c r="F13" s="13" t="s">
        <v>238</v>
      </c>
      <c r="G13" s="13" t="s">
        <v>215</v>
      </c>
      <c r="H13" s="13" t="s">
        <v>239</v>
      </c>
      <c r="I13" s="13" t="s">
        <v>240</v>
      </c>
      <c r="J13" s="13" t="s">
        <v>241</v>
      </c>
      <c r="K13" s="12" t="s">
        <v>242</v>
      </c>
      <c r="L13" s="13"/>
      <c r="M13" s="23"/>
      <c r="N13" s="13"/>
      <c r="O13" s="23"/>
      <c r="P13" s="23">
        <f>0</f>
        <v>0</v>
      </c>
      <c r="Q13" s="13"/>
      <c r="R13" s="13"/>
      <c r="S13" s="23"/>
      <c r="T13" s="13" t="s">
        <v>243</v>
      </c>
      <c r="U13" s="7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</row>
    <row r="14" spans="1:148" ht="229.5">
      <c r="A14" s="11" t="s">
        <v>29</v>
      </c>
      <c r="B14" s="12" t="s">
        <v>81</v>
      </c>
      <c r="C14" s="13" t="s">
        <v>236</v>
      </c>
      <c r="D14" s="23">
        <f>77121258.93</f>
        <v>77121258.93</v>
      </c>
      <c r="E14" s="13" t="s">
        <v>244</v>
      </c>
      <c r="F14" s="13" t="s">
        <v>245</v>
      </c>
      <c r="G14" s="13" t="s">
        <v>215</v>
      </c>
      <c r="H14" s="13" t="s">
        <v>246</v>
      </c>
      <c r="I14" s="13" t="s">
        <v>247</v>
      </c>
      <c r="J14" s="13" t="s">
        <v>248</v>
      </c>
      <c r="K14" s="12" t="s">
        <v>115</v>
      </c>
      <c r="L14" s="13"/>
      <c r="M14" s="23"/>
      <c r="N14" s="13"/>
      <c r="O14" s="23"/>
      <c r="P14" s="23">
        <f>45385357.36</f>
        <v>45385357.36</v>
      </c>
      <c r="Q14" s="13"/>
      <c r="R14" s="13"/>
      <c r="S14" s="23"/>
      <c r="T14" s="13" t="s">
        <v>249</v>
      </c>
      <c r="U14" s="7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</row>
    <row r="15" spans="1:148" ht="242.25">
      <c r="A15" s="11" t="s">
        <v>29</v>
      </c>
      <c r="B15" s="12" t="s">
        <v>86</v>
      </c>
      <c r="C15" s="13" t="s">
        <v>250</v>
      </c>
      <c r="D15" s="23">
        <f>53622270.8</f>
        <v>53622270.8</v>
      </c>
      <c r="E15" s="13" t="s">
        <v>244</v>
      </c>
      <c r="F15" s="13" t="s">
        <v>251</v>
      </c>
      <c r="G15" s="13" t="s">
        <v>215</v>
      </c>
      <c r="H15" s="13" t="s">
        <v>252</v>
      </c>
      <c r="I15" s="13" t="s">
        <v>253</v>
      </c>
      <c r="J15" s="13" t="s">
        <v>254</v>
      </c>
      <c r="K15" s="12" t="s">
        <v>255</v>
      </c>
      <c r="L15" s="13"/>
      <c r="M15" s="23"/>
      <c r="N15" s="13"/>
      <c r="O15" s="23"/>
      <c r="P15" s="23">
        <f>53121877.07</f>
        <v>53121877.07</v>
      </c>
      <c r="Q15" s="13"/>
      <c r="R15" s="13"/>
      <c r="S15" s="23"/>
      <c r="T15" s="13" t="s">
        <v>256</v>
      </c>
      <c r="U15" s="7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</row>
    <row r="16" spans="1:148" s="22" customFormat="1" ht="15">
      <c r="A16" s="18" t="s">
        <v>206</v>
      </c>
      <c r="B16" s="19"/>
      <c r="C16" s="19"/>
      <c r="D16" s="25">
        <v>388900783.42</v>
      </c>
      <c r="E16" s="19"/>
      <c r="F16" s="19"/>
      <c r="G16" s="19"/>
      <c r="H16" s="19"/>
      <c r="I16" s="19"/>
      <c r="J16" s="19"/>
      <c r="K16" s="19"/>
      <c r="L16" s="19"/>
      <c r="M16" s="25"/>
      <c r="N16" s="19"/>
      <c r="O16" s="25"/>
      <c r="P16" s="25">
        <v>229598954.43</v>
      </c>
      <c r="Q16" s="19"/>
      <c r="R16" s="19"/>
      <c r="S16" s="25"/>
      <c r="T16" s="19"/>
      <c r="U16" s="20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</row>
    <row r="17" spans="1:148" ht="15">
      <c r="A17" s="16" t="s">
        <v>205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</row>
    <row r="18" spans="1:130" ht="1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</row>
    <row r="19" spans="1:130" ht="1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</row>
  </sheetData>
  <sheetProtection/>
  <mergeCells count="30">
    <mergeCell ref="A18:DZ18"/>
    <mergeCell ref="A19:DZ19"/>
    <mergeCell ref="S5:S8"/>
    <mergeCell ref="I6:I8"/>
    <mergeCell ref="J6:J8"/>
    <mergeCell ref="K6:K8"/>
    <mergeCell ref="L6:L8"/>
    <mergeCell ref="M6:M8"/>
    <mergeCell ref="N6:N8"/>
    <mergeCell ref="O6:O8"/>
    <mergeCell ref="I4:K4"/>
    <mergeCell ref="L4:O4"/>
    <mergeCell ref="P4:P8"/>
    <mergeCell ref="Q4:S4"/>
    <mergeCell ref="T4:T8"/>
    <mergeCell ref="I5:J5"/>
    <mergeCell ref="L5:M5"/>
    <mergeCell ref="N5:O5"/>
    <mergeCell ref="Q5:Q8"/>
    <mergeCell ref="R5:R8"/>
    <mergeCell ref="B1:T1"/>
    <mergeCell ref="B2:T2"/>
    <mergeCell ref="B3:T3"/>
    <mergeCell ref="B4:B8"/>
    <mergeCell ref="C4:C8"/>
    <mergeCell ref="D4:D8"/>
    <mergeCell ref="E4:E8"/>
    <mergeCell ref="F4:F8"/>
    <mergeCell ref="G4:G8"/>
    <mergeCell ref="H4:H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R32"/>
  <sheetViews>
    <sheetView zoomScalePageLayoutView="0" workbookViewId="0" topLeftCell="A20">
      <selection activeCell="O28" sqref="O28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0" width="10.7109375" style="0" customWidth="1"/>
    <col min="11" max="11" width="11.421875" style="0" customWidth="1"/>
    <col min="12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1:148" ht="18">
      <c r="A1" s="1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</row>
    <row r="2" spans="1:148" ht="15">
      <c r="A2" s="1" t="s">
        <v>257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3"/>
      <c r="V2" s="3"/>
      <c r="W2" s="3"/>
      <c r="X2" s="3"/>
      <c r="Y2" s="4"/>
      <c r="Z2" s="4"/>
      <c r="AA2" s="4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20.25">
      <c r="A3" s="1" t="s">
        <v>258</v>
      </c>
      <c r="B3" s="49" t="s">
        <v>259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2"/>
      <c r="V3" s="2"/>
      <c r="W3" s="2"/>
      <c r="X3" s="2"/>
      <c r="Y3" s="2"/>
      <c r="Z3" s="2"/>
      <c r="AA3" s="2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15">
      <c r="A4" s="5" t="s">
        <v>260</v>
      </c>
      <c r="B4" s="42" t="s">
        <v>4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3"/>
      <c r="V4" s="3"/>
      <c r="W4" s="3"/>
      <c r="X4" s="3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95.25" customHeight="1">
      <c r="A5" s="6"/>
      <c r="B5" s="35" t="s">
        <v>5</v>
      </c>
      <c r="C5" s="32" t="s">
        <v>6</v>
      </c>
      <c r="D5" s="32" t="s">
        <v>7</v>
      </c>
      <c r="E5" s="32" t="s">
        <v>8</v>
      </c>
      <c r="F5" s="32" t="s">
        <v>9</v>
      </c>
      <c r="G5" s="32" t="s">
        <v>10</v>
      </c>
      <c r="H5" s="32" t="s">
        <v>11</v>
      </c>
      <c r="I5" s="43" t="s">
        <v>12</v>
      </c>
      <c r="J5" s="46"/>
      <c r="K5" s="44"/>
      <c r="L5" s="43" t="s">
        <v>261</v>
      </c>
      <c r="M5" s="46"/>
      <c r="N5" s="46"/>
      <c r="O5" s="44"/>
      <c r="P5" s="32" t="s">
        <v>14</v>
      </c>
      <c r="Q5" s="43" t="s">
        <v>15</v>
      </c>
      <c r="R5" s="46"/>
      <c r="S5" s="44"/>
      <c r="T5" s="32" t="s">
        <v>16</v>
      </c>
      <c r="U5" s="7"/>
      <c r="V5" s="3"/>
      <c r="W5" s="3"/>
      <c r="X5" s="3"/>
      <c r="Y5" s="4"/>
      <c r="Z5" s="4"/>
      <c r="AA5" s="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25.5" customHeight="1">
      <c r="A6" s="7"/>
      <c r="B6" s="36"/>
      <c r="C6" s="33"/>
      <c r="D6" s="33"/>
      <c r="E6" s="33"/>
      <c r="F6" s="33"/>
      <c r="G6" s="33"/>
      <c r="H6" s="33"/>
      <c r="I6" s="43" t="s">
        <v>17</v>
      </c>
      <c r="J6" s="44"/>
      <c r="K6" s="8" t="s">
        <v>18</v>
      </c>
      <c r="L6" s="43" t="s">
        <v>19</v>
      </c>
      <c r="M6" s="44"/>
      <c r="N6" s="43" t="s">
        <v>20</v>
      </c>
      <c r="O6" s="44"/>
      <c r="P6" s="33"/>
      <c r="Q6" s="32" t="s">
        <v>21</v>
      </c>
      <c r="R6" s="32" t="s">
        <v>22</v>
      </c>
      <c r="S6" s="32" t="s">
        <v>23</v>
      </c>
      <c r="T6" s="33"/>
      <c r="U6" s="7"/>
      <c r="V6" s="3"/>
      <c r="W6" s="3"/>
      <c r="X6" s="3"/>
      <c r="Y6" s="4"/>
      <c r="Z6" s="4"/>
      <c r="AA6" s="4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15">
      <c r="A7" s="7"/>
      <c r="B7" s="36"/>
      <c r="C7" s="33"/>
      <c r="D7" s="33"/>
      <c r="E7" s="33"/>
      <c r="F7" s="33"/>
      <c r="G7" s="33"/>
      <c r="H7" s="33"/>
      <c r="I7" s="32" t="s">
        <v>24</v>
      </c>
      <c r="J7" s="32" t="s">
        <v>25</v>
      </c>
      <c r="K7" s="32" t="s">
        <v>26</v>
      </c>
      <c r="L7" s="32" t="s">
        <v>22</v>
      </c>
      <c r="M7" s="32" t="s">
        <v>23</v>
      </c>
      <c r="N7" s="32" t="s">
        <v>22</v>
      </c>
      <c r="O7" s="32" t="s">
        <v>23</v>
      </c>
      <c r="P7" s="33"/>
      <c r="Q7" s="33"/>
      <c r="R7" s="33"/>
      <c r="S7" s="33"/>
      <c r="T7" s="33"/>
      <c r="U7" s="7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</row>
    <row r="8" spans="1:148" ht="15">
      <c r="A8" s="7"/>
      <c r="B8" s="36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7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ht="15">
      <c r="A9" s="9"/>
      <c r="B9" s="37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7"/>
      <c r="V9" s="3" t="s">
        <v>27</v>
      </c>
      <c r="W9" s="3" t="s">
        <v>27</v>
      </c>
      <c r="X9" s="3" t="s">
        <v>27</v>
      </c>
      <c r="Y9" s="3" t="s">
        <v>27</v>
      </c>
      <c r="Z9" s="3" t="s">
        <v>27</v>
      </c>
      <c r="AA9" s="3" t="s">
        <v>27</v>
      </c>
      <c r="AB9" s="3" t="s">
        <v>27</v>
      </c>
      <c r="AC9" s="3" t="s">
        <v>27</v>
      </c>
      <c r="AD9" s="3" t="s">
        <v>27</v>
      </c>
      <c r="AE9" s="3" t="s">
        <v>27</v>
      </c>
      <c r="AF9" s="3" t="s">
        <v>27</v>
      </c>
      <c r="AG9" s="3" t="s">
        <v>27</v>
      </c>
      <c r="AH9" s="3" t="s">
        <v>27</v>
      </c>
      <c r="AI9" s="3" t="s">
        <v>27</v>
      </c>
      <c r="AJ9" s="3" t="s">
        <v>27</v>
      </c>
      <c r="AK9" s="3" t="s">
        <v>27</v>
      </c>
      <c r="AL9" s="3" t="s">
        <v>27</v>
      </c>
      <c r="AM9" s="3" t="s">
        <v>27</v>
      </c>
      <c r="AN9" s="3" t="s">
        <v>27</v>
      </c>
      <c r="AO9" s="3" t="s">
        <v>27</v>
      </c>
      <c r="AP9" s="3" t="s">
        <v>27</v>
      </c>
      <c r="AQ9" s="3" t="s">
        <v>27</v>
      </c>
      <c r="AR9" s="3" t="s">
        <v>27</v>
      </c>
      <c r="AS9" s="3" t="s">
        <v>27</v>
      </c>
      <c r="AT9" s="3" t="s">
        <v>27</v>
      </c>
      <c r="AU9" s="3" t="s">
        <v>27</v>
      </c>
      <c r="AV9" s="3" t="s">
        <v>27</v>
      </c>
      <c r="AW9" s="3" t="s">
        <v>27</v>
      </c>
      <c r="AX9" s="3" t="s">
        <v>27</v>
      </c>
      <c r="AY9" s="3" t="s">
        <v>27</v>
      </c>
      <c r="AZ9" s="3" t="s">
        <v>27</v>
      </c>
      <c r="BA9" s="3" t="s">
        <v>27</v>
      </c>
      <c r="BB9" s="3" t="s">
        <v>27</v>
      </c>
      <c r="BC9" s="3" t="s">
        <v>27</v>
      </c>
      <c r="BD9" s="3" t="s">
        <v>27</v>
      </c>
      <c r="BE9" s="3" t="s">
        <v>27</v>
      </c>
      <c r="BF9" s="3" t="s">
        <v>27</v>
      </c>
      <c r="BG9" s="3" t="s">
        <v>27</v>
      </c>
      <c r="BH9" s="3" t="s">
        <v>27</v>
      </c>
      <c r="BI9" s="3" t="s">
        <v>27</v>
      </c>
      <c r="BJ9" s="3" t="s">
        <v>27</v>
      </c>
      <c r="BK9" s="3" t="s">
        <v>27</v>
      </c>
      <c r="BL9" s="3" t="s">
        <v>27</v>
      </c>
      <c r="BM9" s="3" t="s">
        <v>27</v>
      </c>
      <c r="BN9" s="3" t="s">
        <v>27</v>
      </c>
      <c r="BO9" s="3" t="s">
        <v>27</v>
      </c>
      <c r="BP9" s="3" t="s">
        <v>27</v>
      </c>
      <c r="BQ9" s="3" t="s">
        <v>27</v>
      </c>
      <c r="BR9" s="3" t="s">
        <v>27</v>
      </c>
      <c r="BS9" s="3" t="s">
        <v>27</v>
      </c>
      <c r="BT9" s="3" t="s">
        <v>27</v>
      </c>
      <c r="BU9" s="3" t="s">
        <v>27</v>
      </c>
      <c r="BV9" s="3" t="s">
        <v>27</v>
      </c>
      <c r="BW9" s="3" t="s">
        <v>27</v>
      </c>
      <c r="BX9" s="3" t="s">
        <v>27</v>
      </c>
      <c r="BY9" s="3" t="s">
        <v>27</v>
      </c>
      <c r="BZ9" s="3" t="s">
        <v>27</v>
      </c>
      <c r="CA9" s="3" t="s">
        <v>27</v>
      </c>
      <c r="CB9" s="3" t="s">
        <v>27</v>
      </c>
      <c r="CC9" s="3" t="s">
        <v>27</v>
      </c>
      <c r="CD9" s="3" t="s">
        <v>27</v>
      </c>
      <c r="CE9" s="3" t="s">
        <v>27</v>
      </c>
      <c r="CF9" s="3" t="s">
        <v>27</v>
      </c>
      <c r="CG9" s="3" t="s">
        <v>27</v>
      </c>
      <c r="CH9" s="3" t="s">
        <v>27</v>
      </c>
      <c r="CI9" s="3" t="s">
        <v>27</v>
      </c>
      <c r="CJ9" s="3" t="s">
        <v>27</v>
      </c>
      <c r="CK9" s="3" t="s">
        <v>27</v>
      </c>
      <c r="CL9" s="3" t="s">
        <v>27</v>
      </c>
      <c r="CM9" s="3" t="s">
        <v>27</v>
      </c>
      <c r="CN9" s="3" t="s">
        <v>27</v>
      </c>
      <c r="CO9" s="3" t="s">
        <v>27</v>
      </c>
      <c r="CP9" s="3" t="s">
        <v>27</v>
      </c>
      <c r="CQ9" s="3" t="s">
        <v>27</v>
      </c>
      <c r="CR9" s="3" t="s">
        <v>27</v>
      </c>
      <c r="CS9" s="3" t="s">
        <v>27</v>
      </c>
      <c r="CT9" s="3" t="s">
        <v>27</v>
      </c>
      <c r="CU9" s="3" t="s">
        <v>27</v>
      </c>
      <c r="CV9" s="3" t="s">
        <v>27</v>
      </c>
      <c r="CW9" s="3" t="s">
        <v>27</v>
      </c>
      <c r="CX9" s="3" t="s">
        <v>27</v>
      </c>
      <c r="CY9" s="3" t="s">
        <v>27</v>
      </c>
      <c r="CZ9" s="3" t="s">
        <v>27</v>
      </c>
      <c r="DA9" s="3" t="s">
        <v>27</v>
      </c>
      <c r="DB9" s="3" t="s">
        <v>27</v>
      </c>
      <c r="DC9" s="3" t="s">
        <v>27</v>
      </c>
      <c r="DD9" s="3" t="s">
        <v>27</v>
      </c>
      <c r="DE9" s="3" t="s">
        <v>27</v>
      </c>
      <c r="DF9" s="3" t="s">
        <v>27</v>
      </c>
      <c r="DG9" s="3" t="s">
        <v>27</v>
      </c>
      <c r="DH9" s="3" t="s">
        <v>27</v>
      </c>
      <c r="DI9" s="3" t="s">
        <v>27</v>
      </c>
      <c r="DJ9" s="3" t="s">
        <v>27</v>
      </c>
      <c r="DK9" s="3" t="s">
        <v>27</v>
      </c>
      <c r="DL9" s="3" t="s">
        <v>27</v>
      </c>
      <c r="DM9" s="3" t="s">
        <v>27</v>
      </c>
      <c r="DN9" s="3" t="s">
        <v>27</v>
      </c>
      <c r="DO9" s="3" t="s">
        <v>27</v>
      </c>
      <c r="DP9" s="3" t="s">
        <v>27</v>
      </c>
      <c r="DQ9" s="3" t="s">
        <v>27</v>
      </c>
      <c r="DR9" s="3" t="s">
        <v>27</v>
      </c>
      <c r="DS9" s="3" t="s">
        <v>27</v>
      </c>
      <c r="DT9" s="3" t="s">
        <v>27</v>
      </c>
      <c r="DU9" s="3" t="s">
        <v>27</v>
      </c>
      <c r="DV9" s="3" t="s">
        <v>27</v>
      </c>
      <c r="DW9" s="3" t="s">
        <v>27</v>
      </c>
      <c r="DX9" s="3" t="s">
        <v>27</v>
      </c>
      <c r="DY9" s="3" t="s">
        <v>27</v>
      </c>
      <c r="DZ9" s="3" t="s">
        <v>27</v>
      </c>
      <c r="EA9" s="3" t="s">
        <v>27</v>
      </c>
      <c r="EB9" s="3" t="s">
        <v>27</v>
      </c>
      <c r="EC9" s="3" t="s">
        <v>27</v>
      </c>
      <c r="ED9" s="3" t="s">
        <v>27</v>
      </c>
      <c r="EE9" s="3" t="s">
        <v>27</v>
      </c>
      <c r="EF9" s="3" t="s">
        <v>27</v>
      </c>
      <c r="EG9" s="3" t="s">
        <v>27</v>
      </c>
      <c r="EH9" s="3" t="s">
        <v>27</v>
      </c>
      <c r="EI9" s="3" t="s">
        <v>27</v>
      </c>
      <c r="EJ9" s="3" t="s">
        <v>27</v>
      </c>
      <c r="EK9" s="3" t="s">
        <v>27</v>
      </c>
      <c r="EL9" s="3" t="s">
        <v>27</v>
      </c>
      <c r="EM9" s="3" t="s">
        <v>27</v>
      </c>
      <c r="EN9" s="3" t="s">
        <v>27</v>
      </c>
      <c r="EO9" s="3" t="s">
        <v>27</v>
      </c>
      <c r="EP9" s="3" t="s">
        <v>27</v>
      </c>
      <c r="EQ9" s="3" t="s">
        <v>27</v>
      </c>
      <c r="ER9" s="3" t="s">
        <v>27</v>
      </c>
    </row>
    <row r="10" spans="1:148" ht="15" hidden="1">
      <c r="A10" s="3" t="s">
        <v>28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</row>
    <row r="11" spans="1:148" ht="255">
      <c r="A11" s="11" t="s">
        <v>29</v>
      </c>
      <c r="B11" s="12" t="s">
        <v>30</v>
      </c>
      <c r="C11" s="13" t="s">
        <v>262</v>
      </c>
      <c r="D11" s="23">
        <f>117509900</f>
        <v>117509900</v>
      </c>
      <c r="E11" s="13" t="s">
        <v>263</v>
      </c>
      <c r="F11" s="13" t="s">
        <v>264</v>
      </c>
      <c r="G11" s="13" t="s">
        <v>265</v>
      </c>
      <c r="H11" s="13" t="s">
        <v>231</v>
      </c>
      <c r="I11" s="13" t="s">
        <v>266</v>
      </c>
      <c r="J11" s="13" t="s">
        <v>54</v>
      </c>
      <c r="K11" s="13" t="s">
        <v>267</v>
      </c>
      <c r="L11" s="13"/>
      <c r="M11" s="23"/>
      <c r="N11" s="13"/>
      <c r="O11" s="23"/>
      <c r="P11" s="23"/>
      <c r="Q11" s="26" t="s">
        <v>38</v>
      </c>
      <c r="R11" s="26" t="s">
        <v>268</v>
      </c>
      <c r="S11" s="27">
        <f>3378409.63</f>
        <v>3378409.63</v>
      </c>
      <c r="T11" s="13"/>
      <c r="U11" s="7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</row>
    <row r="12" spans="1:148" ht="15">
      <c r="A12" s="14" t="s">
        <v>30</v>
      </c>
      <c r="B12" s="15"/>
      <c r="C12" s="15"/>
      <c r="D12" s="24"/>
      <c r="E12" s="15"/>
      <c r="F12" s="15"/>
      <c r="G12" s="15"/>
      <c r="H12" s="15"/>
      <c r="I12" s="15"/>
      <c r="J12" s="15"/>
      <c r="K12" s="15"/>
      <c r="L12" s="15"/>
      <c r="M12" s="24"/>
      <c r="N12" s="15"/>
      <c r="O12" s="24"/>
      <c r="P12" s="24"/>
      <c r="Q12" s="28" t="s">
        <v>38</v>
      </c>
      <c r="R12" s="28" t="s">
        <v>269</v>
      </c>
      <c r="S12" s="29">
        <f>3378409.63</f>
        <v>3378409.63</v>
      </c>
      <c r="T12" s="15"/>
      <c r="U12" s="7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</row>
    <row r="13" spans="1:148" ht="15">
      <c r="A13" s="14" t="s">
        <v>30</v>
      </c>
      <c r="B13" s="15"/>
      <c r="C13" s="15"/>
      <c r="D13" s="24"/>
      <c r="E13" s="15"/>
      <c r="F13" s="15"/>
      <c r="G13" s="15"/>
      <c r="H13" s="15"/>
      <c r="I13" s="15"/>
      <c r="J13" s="15"/>
      <c r="K13" s="15"/>
      <c r="L13" s="15"/>
      <c r="M13" s="24"/>
      <c r="N13" s="15"/>
      <c r="O13" s="24"/>
      <c r="P13" s="24">
        <f>0</f>
        <v>0</v>
      </c>
      <c r="Q13" s="28" t="s">
        <v>38</v>
      </c>
      <c r="R13" s="28" t="s">
        <v>54</v>
      </c>
      <c r="S13" s="29">
        <f>1606129.17</f>
        <v>1606129.17</v>
      </c>
      <c r="T13" s="15"/>
      <c r="U13" s="7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</row>
    <row r="14" spans="1:148" ht="165.75">
      <c r="A14" s="11" t="s">
        <v>29</v>
      </c>
      <c r="B14" s="12" t="s">
        <v>51</v>
      </c>
      <c r="C14" s="13" t="s">
        <v>270</v>
      </c>
      <c r="D14" s="23">
        <f>2400000000</f>
        <v>2400000000</v>
      </c>
      <c r="E14" s="13" t="s">
        <v>263</v>
      </c>
      <c r="F14" s="13" t="s">
        <v>271</v>
      </c>
      <c r="G14" s="13" t="s">
        <v>272</v>
      </c>
      <c r="H14" s="13" t="s">
        <v>231</v>
      </c>
      <c r="I14" s="13" t="s">
        <v>273</v>
      </c>
      <c r="J14" s="13" t="s">
        <v>168</v>
      </c>
      <c r="K14" s="13" t="s">
        <v>267</v>
      </c>
      <c r="L14" s="13"/>
      <c r="M14" s="23"/>
      <c r="N14" s="13"/>
      <c r="O14" s="23"/>
      <c r="P14" s="23"/>
      <c r="Q14" s="26" t="s">
        <v>38</v>
      </c>
      <c r="R14" s="26" t="s">
        <v>268</v>
      </c>
      <c r="S14" s="27">
        <f>60000000</f>
        <v>60000000</v>
      </c>
      <c r="T14" s="13"/>
      <c r="U14" s="7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</row>
    <row r="15" spans="1:148" ht="15">
      <c r="A15" s="14" t="s">
        <v>30</v>
      </c>
      <c r="B15" s="15"/>
      <c r="C15" s="15"/>
      <c r="D15" s="24">
        <f>0</f>
        <v>0</v>
      </c>
      <c r="E15" s="15"/>
      <c r="F15" s="15"/>
      <c r="G15" s="15"/>
      <c r="H15" s="15"/>
      <c r="I15" s="15"/>
      <c r="J15" s="15"/>
      <c r="K15" s="15"/>
      <c r="L15" s="15"/>
      <c r="M15" s="24"/>
      <c r="N15" s="15"/>
      <c r="O15" s="24"/>
      <c r="P15" s="24"/>
      <c r="Q15" s="28" t="s">
        <v>38</v>
      </c>
      <c r="R15" s="28" t="s">
        <v>274</v>
      </c>
      <c r="S15" s="29">
        <f>59276712.33</f>
        <v>59276712.33</v>
      </c>
      <c r="T15" s="15"/>
      <c r="U15" s="7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</row>
    <row r="16" spans="1:148" ht="15">
      <c r="A16" s="14" t="s">
        <v>30</v>
      </c>
      <c r="B16" s="15"/>
      <c r="C16" s="15"/>
      <c r="D16" s="24">
        <f>0</f>
        <v>0</v>
      </c>
      <c r="E16" s="15"/>
      <c r="F16" s="15"/>
      <c r="G16" s="15"/>
      <c r="H16" s="15"/>
      <c r="I16" s="15"/>
      <c r="J16" s="15"/>
      <c r="K16" s="15"/>
      <c r="L16" s="15"/>
      <c r="M16" s="24"/>
      <c r="N16" s="15"/>
      <c r="O16" s="24"/>
      <c r="P16" s="24">
        <f>0</f>
        <v>0</v>
      </c>
      <c r="Q16" s="28" t="s">
        <v>38</v>
      </c>
      <c r="R16" s="28" t="s">
        <v>168</v>
      </c>
      <c r="S16" s="29">
        <f>26754098.36</f>
        <v>26754098.36</v>
      </c>
      <c r="T16" s="15"/>
      <c r="U16" s="7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</row>
    <row r="17" spans="1:148" ht="255">
      <c r="A17" s="11" t="s">
        <v>29</v>
      </c>
      <c r="B17" s="12" t="s">
        <v>57</v>
      </c>
      <c r="C17" s="13" t="s">
        <v>262</v>
      </c>
      <c r="D17" s="23">
        <f>176600000</f>
        <v>176600000</v>
      </c>
      <c r="E17" s="13" t="s">
        <v>275</v>
      </c>
      <c r="F17" s="13" t="s">
        <v>276</v>
      </c>
      <c r="G17" s="13" t="s">
        <v>265</v>
      </c>
      <c r="H17" s="13" t="s">
        <v>231</v>
      </c>
      <c r="I17" s="13" t="s">
        <v>277</v>
      </c>
      <c r="J17" s="13" t="s">
        <v>278</v>
      </c>
      <c r="K17" s="13" t="s">
        <v>267</v>
      </c>
      <c r="L17" s="13"/>
      <c r="M17" s="23"/>
      <c r="N17" s="13"/>
      <c r="O17" s="23"/>
      <c r="P17" s="23">
        <f>176600000</f>
        <v>176600000</v>
      </c>
      <c r="Q17" s="26" t="s">
        <v>38</v>
      </c>
      <c r="R17" s="26" t="s">
        <v>268</v>
      </c>
      <c r="S17" s="27">
        <f>2244997.26</f>
        <v>2244997.26</v>
      </c>
      <c r="T17" s="13"/>
      <c r="U17" s="7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</row>
    <row r="18" spans="1:148" ht="15">
      <c r="A18" s="14" t="s">
        <v>30</v>
      </c>
      <c r="B18" s="15"/>
      <c r="C18" s="15"/>
      <c r="D18" s="24"/>
      <c r="E18" s="15"/>
      <c r="F18" s="15"/>
      <c r="G18" s="15"/>
      <c r="H18" s="15"/>
      <c r="I18" s="15"/>
      <c r="J18" s="15"/>
      <c r="K18" s="15"/>
      <c r="L18" s="15"/>
      <c r="M18" s="24"/>
      <c r="N18" s="15"/>
      <c r="O18" s="24"/>
      <c r="P18" s="24"/>
      <c r="Q18" s="28" t="s">
        <v>38</v>
      </c>
      <c r="R18" s="28" t="s">
        <v>269</v>
      </c>
      <c r="S18" s="29">
        <f>3532000</f>
        <v>3532000</v>
      </c>
      <c r="T18" s="15"/>
      <c r="U18" s="7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</row>
    <row r="19" spans="1:148" ht="15">
      <c r="A19" s="14"/>
      <c r="B19" s="15"/>
      <c r="C19" s="15"/>
      <c r="D19" s="24"/>
      <c r="E19" s="15"/>
      <c r="F19" s="15"/>
      <c r="G19" s="15"/>
      <c r="H19" s="15"/>
      <c r="I19" s="15"/>
      <c r="J19" s="15"/>
      <c r="K19" s="15"/>
      <c r="L19" s="15"/>
      <c r="M19" s="24"/>
      <c r="N19" s="15"/>
      <c r="O19" s="24"/>
      <c r="P19" s="24"/>
      <c r="Q19" s="28" t="s">
        <v>38</v>
      </c>
      <c r="R19" s="50">
        <v>41263</v>
      </c>
      <c r="S19" s="29">
        <f>3532000</f>
        <v>3532000</v>
      </c>
      <c r="T19" s="15"/>
      <c r="U19" s="7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</row>
    <row r="20" spans="1:148" ht="216.75">
      <c r="A20" s="11" t="s">
        <v>29</v>
      </c>
      <c r="B20" s="12" t="s">
        <v>64</v>
      </c>
      <c r="C20" s="13" t="s">
        <v>270</v>
      </c>
      <c r="D20" s="23">
        <f>110888000</f>
        <v>110888000</v>
      </c>
      <c r="E20" s="13" t="s">
        <v>275</v>
      </c>
      <c r="F20" s="13" t="s">
        <v>279</v>
      </c>
      <c r="G20" s="13" t="s">
        <v>272</v>
      </c>
      <c r="H20" s="13" t="s">
        <v>231</v>
      </c>
      <c r="I20" s="13" t="s">
        <v>280</v>
      </c>
      <c r="J20" s="31">
        <v>48549</v>
      </c>
      <c r="K20" s="13" t="s">
        <v>267</v>
      </c>
      <c r="L20" s="13"/>
      <c r="M20" s="23"/>
      <c r="N20" s="13"/>
      <c r="O20" s="23"/>
      <c r="P20" s="23">
        <f>110888000</f>
        <v>110888000</v>
      </c>
      <c r="Q20" s="51" t="s">
        <v>38</v>
      </c>
      <c r="R20" s="51" t="s">
        <v>268</v>
      </c>
      <c r="S20" s="52">
        <f>847609.64</f>
        <v>847609.64</v>
      </c>
      <c r="T20" s="13" t="s">
        <v>281</v>
      </c>
      <c r="U20" s="7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</row>
    <row r="21" spans="1:148" ht="15" customHeight="1">
      <c r="A21" s="14"/>
      <c r="B21" s="53"/>
      <c r="C21" s="15"/>
      <c r="D21" s="24"/>
      <c r="E21" s="15"/>
      <c r="F21" s="15"/>
      <c r="G21" s="15"/>
      <c r="H21" s="15"/>
      <c r="I21" s="15"/>
      <c r="J21" s="54"/>
      <c r="K21" s="55" t="s">
        <v>282</v>
      </c>
      <c r="L21" s="15"/>
      <c r="M21" s="24"/>
      <c r="N21" s="15"/>
      <c r="O21" s="24"/>
      <c r="P21" s="24"/>
      <c r="Q21" s="56"/>
      <c r="R21" s="56"/>
      <c r="S21" s="57"/>
      <c r="T21" s="15"/>
      <c r="U21" s="7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</row>
    <row r="22" spans="1:148" ht="15">
      <c r="A22" s="14" t="s">
        <v>30</v>
      </c>
      <c r="B22" s="15"/>
      <c r="C22" s="15"/>
      <c r="D22" s="24"/>
      <c r="E22" s="15"/>
      <c r="F22" s="15"/>
      <c r="G22" s="15"/>
      <c r="H22" s="15"/>
      <c r="I22" s="15"/>
      <c r="J22" s="15"/>
      <c r="K22" s="55"/>
      <c r="L22" s="15"/>
      <c r="M22" s="24"/>
      <c r="N22" s="15"/>
      <c r="O22" s="24"/>
      <c r="P22" s="24"/>
      <c r="Q22" s="28" t="s">
        <v>38</v>
      </c>
      <c r="R22" s="28" t="s">
        <v>269</v>
      </c>
      <c r="S22" s="29">
        <f>2148455</f>
        <v>2148455</v>
      </c>
      <c r="T22" s="15"/>
      <c r="U22" s="7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</row>
    <row r="23" spans="1:148" ht="15">
      <c r="A23" s="14" t="s">
        <v>30</v>
      </c>
      <c r="B23" s="15"/>
      <c r="C23" s="15"/>
      <c r="D23" s="24"/>
      <c r="E23" s="15"/>
      <c r="F23" s="15"/>
      <c r="G23" s="15"/>
      <c r="H23" s="15"/>
      <c r="I23" s="15"/>
      <c r="J23" s="15"/>
      <c r="K23" s="58"/>
      <c r="L23" s="15"/>
      <c r="M23" s="24"/>
      <c r="N23" s="15"/>
      <c r="O23" s="24"/>
      <c r="P23" s="24"/>
      <c r="Q23" s="28" t="s">
        <v>38</v>
      </c>
      <c r="R23" s="28" t="s">
        <v>283</v>
      </c>
      <c r="S23" s="29">
        <f>2122626.58</f>
        <v>2122626.58</v>
      </c>
      <c r="T23" s="15"/>
      <c r="U23" s="7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</row>
    <row r="24" spans="1:148" ht="229.5">
      <c r="A24" s="11" t="s">
        <v>29</v>
      </c>
      <c r="B24" s="12" t="s">
        <v>81</v>
      </c>
      <c r="C24" s="13" t="s">
        <v>270</v>
      </c>
      <c r="D24" s="23">
        <f>348529000</f>
        <v>348529000</v>
      </c>
      <c r="E24" s="13" t="s">
        <v>275</v>
      </c>
      <c r="F24" s="13" t="s">
        <v>284</v>
      </c>
      <c r="G24" s="13" t="s">
        <v>272</v>
      </c>
      <c r="H24" s="13" t="s">
        <v>231</v>
      </c>
      <c r="I24" s="13" t="s">
        <v>285</v>
      </c>
      <c r="J24" s="31">
        <v>48549</v>
      </c>
      <c r="K24" s="13" t="s">
        <v>267</v>
      </c>
      <c r="L24" s="13"/>
      <c r="M24" s="23"/>
      <c r="N24" s="13"/>
      <c r="O24" s="23"/>
      <c r="P24" s="23">
        <f>348529000</f>
        <v>348529000</v>
      </c>
      <c r="Q24" s="51" t="s">
        <v>38</v>
      </c>
      <c r="R24" s="51" t="s">
        <v>286</v>
      </c>
      <c r="S24" s="52">
        <f>333012.3</f>
        <v>333012.3</v>
      </c>
      <c r="T24" s="13" t="s">
        <v>287</v>
      </c>
      <c r="U24" s="7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</row>
    <row r="25" spans="1:148" ht="17.25" customHeight="1">
      <c r="A25" s="14"/>
      <c r="B25" s="53"/>
      <c r="C25" s="15"/>
      <c r="D25" s="24"/>
      <c r="E25" s="15"/>
      <c r="F25" s="15"/>
      <c r="G25" s="15"/>
      <c r="H25" s="15"/>
      <c r="I25" s="15"/>
      <c r="J25" s="54"/>
      <c r="K25" s="55" t="s">
        <v>282</v>
      </c>
      <c r="L25" s="15"/>
      <c r="M25" s="24"/>
      <c r="N25" s="15"/>
      <c r="O25" s="24"/>
      <c r="P25" s="24"/>
      <c r="Q25" s="56"/>
      <c r="R25" s="56"/>
      <c r="S25" s="57"/>
      <c r="T25" s="15"/>
      <c r="U25" s="7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</row>
    <row r="26" spans="1:148" ht="16.5" customHeight="1">
      <c r="A26" s="14" t="s">
        <v>30</v>
      </c>
      <c r="B26" s="15"/>
      <c r="C26" s="15"/>
      <c r="D26" s="24"/>
      <c r="E26" s="15"/>
      <c r="F26" s="15"/>
      <c r="G26" s="15"/>
      <c r="H26" s="15"/>
      <c r="I26" s="15"/>
      <c r="J26" s="15"/>
      <c r="K26" s="55"/>
      <c r="L26" s="15"/>
      <c r="M26" s="24"/>
      <c r="N26" s="15"/>
      <c r="O26" s="24"/>
      <c r="P26" s="24"/>
      <c r="Q26" s="28" t="s">
        <v>38</v>
      </c>
      <c r="R26" s="28" t="s">
        <v>269</v>
      </c>
      <c r="S26" s="29">
        <f>6752749.38</f>
        <v>6752749.38</v>
      </c>
      <c r="T26" s="15"/>
      <c r="U26" s="7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</row>
    <row r="27" spans="1:148" ht="15">
      <c r="A27" s="14" t="s">
        <v>30</v>
      </c>
      <c r="B27" s="15"/>
      <c r="C27" s="15"/>
      <c r="D27" s="24"/>
      <c r="E27" s="15"/>
      <c r="F27" s="15"/>
      <c r="G27" s="15"/>
      <c r="H27" s="15"/>
      <c r="I27" s="15"/>
      <c r="J27" s="15"/>
      <c r="K27" s="58"/>
      <c r="L27" s="15"/>
      <c r="M27" s="24"/>
      <c r="N27" s="15"/>
      <c r="O27" s="24"/>
      <c r="P27" s="24"/>
      <c r="Q27" s="28" t="s">
        <v>38</v>
      </c>
      <c r="R27" s="28" t="s">
        <v>283</v>
      </c>
      <c r="S27" s="29">
        <f>6671568.78</f>
        <v>6671568.78</v>
      </c>
      <c r="T27" s="15"/>
      <c r="U27" s="7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</row>
    <row r="28" spans="1:148" ht="165.75">
      <c r="A28" s="11" t="s">
        <v>29</v>
      </c>
      <c r="B28" s="12" t="s">
        <v>86</v>
      </c>
      <c r="C28" s="13" t="s">
        <v>270</v>
      </c>
      <c r="D28" s="23">
        <f>350000000</f>
        <v>350000000</v>
      </c>
      <c r="E28" s="13" t="s">
        <v>288</v>
      </c>
      <c r="F28" s="13" t="s">
        <v>289</v>
      </c>
      <c r="G28" s="13" t="s">
        <v>272</v>
      </c>
      <c r="H28" s="13" t="s">
        <v>231</v>
      </c>
      <c r="I28" s="13" t="s">
        <v>290</v>
      </c>
      <c r="J28" s="13" t="s">
        <v>291</v>
      </c>
      <c r="K28" s="13" t="s">
        <v>292</v>
      </c>
      <c r="L28" s="13"/>
      <c r="M28" s="23"/>
      <c r="N28" s="13"/>
      <c r="O28" s="23"/>
      <c r="P28" s="23">
        <f>350000000</f>
        <v>350000000</v>
      </c>
      <c r="Q28" s="26" t="s">
        <v>38</v>
      </c>
      <c r="R28" s="26" t="s">
        <v>283</v>
      </c>
      <c r="S28" s="27">
        <f>3550204.92</f>
        <v>3550204.92</v>
      </c>
      <c r="T28" s="13"/>
      <c r="U28" s="7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</row>
    <row r="29" spans="1:148" s="22" customFormat="1" ht="15">
      <c r="A29" s="18" t="s">
        <v>206</v>
      </c>
      <c r="B29" s="19"/>
      <c r="C29" s="19"/>
      <c r="D29" s="25">
        <v>3503526900</v>
      </c>
      <c r="E29" s="19"/>
      <c r="F29" s="19"/>
      <c r="G29" s="19"/>
      <c r="H29" s="19"/>
      <c r="I29" s="19"/>
      <c r="J29" s="19"/>
      <c r="K29" s="19"/>
      <c r="L29" s="19"/>
      <c r="M29" s="25"/>
      <c r="N29" s="19"/>
      <c r="O29" s="25">
        <v>0</v>
      </c>
      <c r="P29" s="25">
        <v>986017000</v>
      </c>
      <c r="Q29" s="19"/>
      <c r="R29" s="19"/>
      <c r="S29" s="25">
        <v>182596982.98</v>
      </c>
      <c r="T29" s="19"/>
      <c r="U29" s="20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</row>
    <row r="30" spans="1:148" ht="15">
      <c r="A30" s="16" t="s">
        <v>205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</row>
    <row r="31" spans="1:130" ht="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</row>
    <row r="32" spans="1:130" ht="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</row>
  </sheetData>
  <sheetProtection/>
  <mergeCells count="39">
    <mergeCell ref="A31:DZ31"/>
    <mergeCell ref="A32:DZ32"/>
    <mergeCell ref="Q20:Q21"/>
    <mergeCell ref="R20:R21"/>
    <mergeCell ref="S20:S21"/>
    <mergeCell ref="K21:K23"/>
    <mergeCell ref="Q24:Q25"/>
    <mergeCell ref="R24:R25"/>
    <mergeCell ref="S24:S25"/>
    <mergeCell ref="K25:K27"/>
    <mergeCell ref="R6:R9"/>
    <mergeCell ref="S6:S9"/>
    <mergeCell ref="I7:I9"/>
    <mergeCell ref="J7:J9"/>
    <mergeCell ref="K7:K9"/>
    <mergeCell ref="L7:L9"/>
    <mergeCell ref="M7:M9"/>
    <mergeCell ref="N7:N9"/>
    <mergeCell ref="O7:O9"/>
    <mergeCell ref="H5:H9"/>
    <mergeCell ref="I5:K5"/>
    <mergeCell ref="L5:O5"/>
    <mergeCell ref="P5:P9"/>
    <mergeCell ref="Q5:S5"/>
    <mergeCell ref="T5:T9"/>
    <mergeCell ref="I6:J6"/>
    <mergeCell ref="L6:M6"/>
    <mergeCell ref="N6:O6"/>
    <mergeCell ref="Q6:Q9"/>
    <mergeCell ref="B1:T1"/>
    <mergeCell ref="B2:T2"/>
    <mergeCell ref="B3:T3"/>
    <mergeCell ref="B4:T4"/>
    <mergeCell ref="B5:B9"/>
    <mergeCell ref="C5:C9"/>
    <mergeCell ref="D5:D9"/>
    <mergeCell ref="E5:E9"/>
    <mergeCell ref="F5:F9"/>
    <mergeCell ref="G5:G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O24"/>
  <sheetViews>
    <sheetView zoomScalePageLayoutView="0" workbookViewId="0" topLeftCell="B1">
      <selection activeCell="F14" sqref="F14"/>
    </sheetView>
  </sheetViews>
  <sheetFormatPr defaultColWidth="9.140625" defaultRowHeight="15"/>
  <cols>
    <col min="1" max="1" width="0" style="0" hidden="1" customWidth="1"/>
    <col min="2" max="2" width="0.13671875" style="0" customWidth="1"/>
    <col min="3" max="3" width="24.421875" style="0" customWidth="1"/>
    <col min="4" max="5" width="17.7109375" style="0" customWidth="1"/>
    <col min="6" max="6" width="17.57421875" style="0" customWidth="1"/>
    <col min="7" max="7" width="17.7109375" style="0" customWidth="1"/>
    <col min="8" max="8" width="17.57421875" style="0" customWidth="1"/>
    <col min="9" max="9" width="17.28125" style="0" customWidth="1"/>
    <col min="10" max="11" width="16.7109375" style="0" customWidth="1"/>
    <col min="12" max="12" width="17.28125" style="0" customWidth="1"/>
    <col min="13" max="15" width="17.421875" style="0" customWidth="1"/>
    <col min="16" max="16" width="17.140625" style="0" customWidth="1"/>
    <col min="17" max="17" width="16.7109375" style="0" customWidth="1"/>
    <col min="18" max="18" width="0.13671875" style="0" customWidth="1"/>
    <col min="19" max="145" width="0" style="0" hidden="1" customWidth="1"/>
  </cols>
  <sheetData>
    <row r="1" spans="1:145" ht="18">
      <c r="A1" s="1" t="s">
        <v>0</v>
      </c>
      <c r="B1" s="1" t="s">
        <v>293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2"/>
      <c r="S1" s="2"/>
      <c r="T1" s="2"/>
      <c r="U1" s="2"/>
      <c r="V1" s="2"/>
      <c r="W1" s="2"/>
      <c r="X1" s="2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</row>
    <row r="2" spans="1:145" ht="15">
      <c r="A2" s="1" t="s">
        <v>1</v>
      </c>
      <c r="B2" s="1" t="s">
        <v>293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3"/>
      <c r="S2" s="3"/>
      <c r="T2" s="3"/>
      <c r="U2" s="3"/>
      <c r="V2" s="4"/>
      <c r="W2" s="4"/>
      <c r="X2" s="4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</row>
    <row r="3" spans="1:145" ht="20.25">
      <c r="A3" s="1" t="s">
        <v>0</v>
      </c>
      <c r="B3" s="1" t="s">
        <v>293</v>
      </c>
      <c r="C3" s="41" t="s">
        <v>294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2"/>
      <c r="S3" s="2"/>
      <c r="T3" s="2"/>
      <c r="U3" s="2"/>
      <c r="V3" s="2"/>
      <c r="W3" s="2"/>
      <c r="X3" s="2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</row>
    <row r="4" spans="1:145" ht="15">
      <c r="A4" s="1" t="s">
        <v>3</v>
      </c>
      <c r="B4" s="5"/>
      <c r="C4" s="42" t="s">
        <v>4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3"/>
      <c r="S4" s="3"/>
      <c r="T4" s="3"/>
      <c r="U4" s="3"/>
      <c r="V4" s="4"/>
      <c r="W4" s="4"/>
      <c r="X4" s="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</row>
    <row r="5" spans="1:145" ht="15">
      <c r="A5" s="59" t="s">
        <v>313</v>
      </c>
      <c r="B5" s="6"/>
      <c r="C5" s="35"/>
      <c r="D5" s="32" t="s">
        <v>295</v>
      </c>
      <c r="E5" s="32" t="s">
        <v>296</v>
      </c>
      <c r="F5" s="32" t="s">
        <v>297</v>
      </c>
      <c r="G5" s="32" t="s">
        <v>298</v>
      </c>
      <c r="H5" s="32" t="s">
        <v>299</v>
      </c>
      <c r="I5" s="32" t="s">
        <v>300</v>
      </c>
      <c r="J5" s="32" t="s">
        <v>301</v>
      </c>
      <c r="K5" s="32" t="s">
        <v>302</v>
      </c>
      <c r="L5" s="32" t="s">
        <v>303</v>
      </c>
      <c r="M5" s="32" t="s">
        <v>304</v>
      </c>
      <c r="N5" s="32" t="s">
        <v>305</v>
      </c>
      <c r="O5" s="32" t="s">
        <v>306</v>
      </c>
      <c r="P5" s="32" t="s">
        <v>307</v>
      </c>
      <c r="Q5" s="32" t="s">
        <v>308</v>
      </c>
      <c r="R5" s="7"/>
      <c r="S5" s="3"/>
      <c r="T5" s="3"/>
      <c r="U5" s="3"/>
      <c r="V5" s="4"/>
      <c r="W5" s="4"/>
      <c r="X5" s="4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</row>
    <row r="6" spans="1:145" ht="15">
      <c r="A6" s="60"/>
      <c r="B6" s="7"/>
      <c r="C6" s="36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7"/>
      <c r="S6" s="3"/>
      <c r="T6" s="3"/>
      <c r="U6" s="3"/>
      <c r="V6" s="4"/>
      <c r="W6" s="4"/>
      <c r="X6" s="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</row>
    <row r="7" spans="1:145" ht="15">
      <c r="A7" s="60"/>
      <c r="B7" s="7"/>
      <c r="C7" s="36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7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</row>
    <row r="8" spans="1:145" ht="15">
      <c r="A8" s="60"/>
      <c r="B8" s="7"/>
      <c r="C8" s="36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7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</row>
    <row r="9" spans="1:145" ht="15">
      <c r="A9" s="60" t="s">
        <v>27</v>
      </c>
      <c r="B9" s="7"/>
      <c r="C9" s="37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7"/>
      <c r="S9" s="3" t="s">
        <v>27</v>
      </c>
      <c r="T9" s="3" t="s">
        <v>27</v>
      </c>
      <c r="U9" s="3" t="s">
        <v>27</v>
      </c>
      <c r="V9" s="3" t="s">
        <v>27</v>
      </c>
      <c r="W9" s="3" t="s">
        <v>27</v>
      </c>
      <c r="X9" s="3" t="s">
        <v>27</v>
      </c>
      <c r="Y9" s="3" t="s">
        <v>27</v>
      </c>
      <c r="Z9" s="3" t="s">
        <v>27</v>
      </c>
      <c r="AA9" s="3" t="s">
        <v>27</v>
      </c>
      <c r="AB9" s="3" t="s">
        <v>27</v>
      </c>
      <c r="AC9" s="3" t="s">
        <v>27</v>
      </c>
      <c r="AD9" s="3" t="s">
        <v>27</v>
      </c>
      <c r="AE9" s="3" t="s">
        <v>27</v>
      </c>
      <c r="AF9" s="3" t="s">
        <v>27</v>
      </c>
      <c r="AG9" s="3" t="s">
        <v>27</v>
      </c>
      <c r="AH9" s="3" t="s">
        <v>27</v>
      </c>
      <c r="AI9" s="3" t="s">
        <v>27</v>
      </c>
      <c r="AJ9" s="3" t="s">
        <v>27</v>
      </c>
      <c r="AK9" s="3" t="s">
        <v>27</v>
      </c>
      <c r="AL9" s="3" t="s">
        <v>27</v>
      </c>
      <c r="AM9" s="3" t="s">
        <v>27</v>
      </c>
      <c r="AN9" s="3" t="s">
        <v>27</v>
      </c>
      <c r="AO9" s="3" t="s">
        <v>27</v>
      </c>
      <c r="AP9" s="3" t="s">
        <v>27</v>
      </c>
      <c r="AQ9" s="3" t="s">
        <v>27</v>
      </c>
      <c r="AR9" s="3" t="s">
        <v>27</v>
      </c>
      <c r="AS9" s="3" t="s">
        <v>27</v>
      </c>
      <c r="AT9" s="3" t="s">
        <v>27</v>
      </c>
      <c r="AU9" s="3" t="s">
        <v>27</v>
      </c>
      <c r="AV9" s="3" t="s">
        <v>27</v>
      </c>
      <c r="AW9" s="3" t="s">
        <v>27</v>
      </c>
      <c r="AX9" s="3" t="s">
        <v>27</v>
      </c>
      <c r="AY9" s="3" t="s">
        <v>27</v>
      </c>
      <c r="AZ9" s="3" t="s">
        <v>27</v>
      </c>
      <c r="BA9" s="3" t="s">
        <v>27</v>
      </c>
      <c r="BB9" s="3" t="s">
        <v>27</v>
      </c>
      <c r="BC9" s="3" t="s">
        <v>27</v>
      </c>
      <c r="BD9" s="3" t="s">
        <v>27</v>
      </c>
      <c r="BE9" s="3" t="s">
        <v>27</v>
      </c>
      <c r="BF9" s="3" t="s">
        <v>27</v>
      </c>
      <c r="BG9" s="3" t="s">
        <v>27</v>
      </c>
      <c r="BH9" s="3" t="s">
        <v>27</v>
      </c>
      <c r="BI9" s="3" t="s">
        <v>27</v>
      </c>
      <c r="BJ9" s="3" t="s">
        <v>27</v>
      </c>
      <c r="BK9" s="3" t="s">
        <v>27</v>
      </c>
      <c r="BL9" s="3" t="s">
        <v>27</v>
      </c>
      <c r="BM9" s="3" t="s">
        <v>27</v>
      </c>
      <c r="BN9" s="3" t="s">
        <v>27</v>
      </c>
      <c r="BO9" s="3" t="s">
        <v>27</v>
      </c>
      <c r="BP9" s="3" t="s">
        <v>27</v>
      </c>
      <c r="BQ9" s="3" t="s">
        <v>27</v>
      </c>
      <c r="BR9" s="3" t="s">
        <v>27</v>
      </c>
      <c r="BS9" s="3" t="s">
        <v>27</v>
      </c>
      <c r="BT9" s="3" t="s">
        <v>27</v>
      </c>
      <c r="BU9" s="3" t="s">
        <v>27</v>
      </c>
      <c r="BV9" s="3" t="s">
        <v>27</v>
      </c>
      <c r="BW9" s="3" t="s">
        <v>27</v>
      </c>
      <c r="BX9" s="3" t="s">
        <v>27</v>
      </c>
      <c r="BY9" s="3" t="s">
        <v>27</v>
      </c>
      <c r="BZ9" s="3" t="s">
        <v>27</v>
      </c>
      <c r="CA9" s="3" t="s">
        <v>27</v>
      </c>
      <c r="CB9" s="3" t="s">
        <v>27</v>
      </c>
      <c r="CC9" s="3" t="s">
        <v>27</v>
      </c>
      <c r="CD9" s="3" t="s">
        <v>27</v>
      </c>
      <c r="CE9" s="3" t="s">
        <v>27</v>
      </c>
      <c r="CF9" s="3" t="s">
        <v>27</v>
      </c>
      <c r="CG9" s="3" t="s">
        <v>27</v>
      </c>
      <c r="CH9" s="3" t="s">
        <v>27</v>
      </c>
      <c r="CI9" s="3" t="s">
        <v>27</v>
      </c>
      <c r="CJ9" s="3" t="s">
        <v>27</v>
      </c>
      <c r="CK9" s="3" t="s">
        <v>27</v>
      </c>
      <c r="CL9" s="3" t="s">
        <v>27</v>
      </c>
      <c r="CM9" s="3" t="s">
        <v>27</v>
      </c>
      <c r="CN9" s="3" t="s">
        <v>27</v>
      </c>
      <c r="CO9" s="3" t="s">
        <v>27</v>
      </c>
      <c r="CP9" s="3" t="s">
        <v>27</v>
      </c>
      <c r="CQ9" s="3" t="s">
        <v>27</v>
      </c>
      <c r="CR9" s="3" t="s">
        <v>27</v>
      </c>
      <c r="CS9" s="3" t="s">
        <v>27</v>
      </c>
      <c r="CT9" s="3" t="s">
        <v>27</v>
      </c>
      <c r="CU9" s="3" t="s">
        <v>27</v>
      </c>
      <c r="CV9" s="3" t="s">
        <v>27</v>
      </c>
      <c r="CW9" s="3" t="s">
        <v>27</v>
      </c>
      <c r="CX9" s="3" t="s">
        <v>27</v>
      </c>
      <c r="CY9" s="3" t="s">
        <v>27</v>
      </c>
      <c r="CZ9" s="3" t="s">
        <v>27</v>
      </c>
      <c r="DA9" s="3" t="s">
        <v>27</v>
      </c>
      <c r="DB9" s="3" t="s">
        <v>27</v>
      </c>
      <c r="DC9" s="3" t="s">
        <v>27</v>
      </c>
      <c r="DD9" s="3" t="s">
        <v>27</v>
      </c>
      <c r="DE9" s="3" t="s">
        <v>27</v>
      </c>
      <c r="DF9" s="3" t="s">
        <v>27</v>
      </c>
      <c r="DG9" s="3" t="s">
        <v>27</v>
      </c>
      <c r="DH9" s="3" t="s">
        <v>27</v>
      </c>
      <c r="DI9" s="3" t="s">
        <v>27</v>
      </c>
      <c r="DJ9" s="3" t="s">
        <v>27</v>
      </c>
      <c r="DK9" s="3" t="s">
        <v>27</v>
      </c>
      <c r="DL9" s="3" t="s">
        <v>27</v>
      </c>
      <c r="DM9" s="3" t="s">
        <v>27</v>
      </c>
      <c r="DN9" s="3" t="s">
        <v>27</v>
      </c>
      <c r="DO9" s="3" t="s">
        <v>27</v>
      </c>
      <c r="DP9" s="3" t="s">
        <v>27</v>
      </c>
      <c r="DQ9" s="3" t="s">
        <v>27</v>
      </c>
      <c r="DR9" s="3" t="s">
        <v>27</v>
      </c>
      <c r="DS9" s="3" t="s">
        <v>27</v>
      </c>
      <c r="DT9" s="3" t="s">
        <v>27</v>
      </c>
      <c r="DU9" s="3" t="s">
        <v>27</v>
      </c>
      <c r="DV9" s="3" t="s">
        <v>27</v>
      </c>
      <c r="DW9" s="3" t="s">
        <v>27</v>
      </c>
      <c r="DX9" s="3" t="s">
        <v>27</v>
      </c>
      <c r="DY9" s="3" t="s">
        <v>27</v>
      </c>
      <c r="DZ9" s="3" t="s">
        <v>27</v>
      </c>
      <c r="EA9" s="3" t="s">
        <v>27</v>
      </c>
      <c r="EB9" s="3" t="s">
        <v>27</v>
      </c>
      <c r="EC9" s="3" t="s">
        <v>27</v>
      </c>
      <c r="ED9" s="3" t="s">
        <v>27</v>
      </c>
      <c r="EE9" s="3" t="s">
        <v>27</v>
      </c>
      <c r="EF9" s="3" t="s">
        <v>27</v>
      </c>
      <c r="EG9" s="3" t="s">
        <v>27</v>
      </c>
      <c r="EH9" s="3" t="s">
        <v>27</v>
      </c>
      <c r="EI9" s="3" t="s">
        <v>27</v>
      </c>
      <c r="EJ9" s="3" t="s">
        <v>27</v>
      </c>
      <c r="EK9" s="3" t="s">
        <v>27</v>
      </c>
      <c r="EL9" s="3" t="s">
        <v>27</v>
      </c>
      <c r="EM9" s="3" t="s">
        <v>27</v>
      </c>
      <c r="EN9" s="3" t="s">
        <v>27</v>
      </c>
      <c r="EO9" s="3" t="s">
        <v>27</v>
      </c>
    </row>
    <row r="10" spans="1:145" ht="15" hidden="1">
      <c r="A10" s="60" t="s">
        <v>28</v>
      </c>
      <c r="B10" s="7"/>
      <c r="C10" s="8" t="s">
        <v>30</v>
      </c>
      <c r="D10" s="8" t="s">
        <v>51</v>
      </c>
      <c r="E10" s="8" t="s">
        <v>57</v>
      </c>
      <c r="F10" s="8" t="s">
        <v>64</v>
      </c>
      <c r="G10" s="8" t="s">
        <v>81</v>
      </c>
      <c r="H10" s="8" t="s">
        <v>86</v>
      </c>
      <c r="I10" s="8" t="s">
        <v>89</v>
      </c>
      <c r="J10" s="8" t="s">
        <v>74</v>
      </c>
      <c r="K10" s="8" t="s">
        <v>91</v>
      </c>
      <c r="L10" s="8" t="s">
        <v>96</v>
      </c>
      <c r="M10" s="8" t="s">
        <v>102</v>
      </c>
      <c r="N10" s="8" t="s">
        <v>105</v>
      </c>
      <c r="O10" s="8" t="s">
        <v>113</v>
      </c>
      <c r="P10" s="8" t="s">
        <v>115</v>
      </c>
      <c r="Q10" s="8" t="s">
        <v>117</v>
      </c>
      <c r="R10" s="7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</row>
    <row r="11" spans="1:145" ht="15" hidden="1">
      <c r="A11" s="60" t="s">
        <v>28</v>
      </c>
      <c r="B11" s="7"/>
      <c r="C11" s="8" t="s">
        <v>30</v>
      </c>
      <c r="D11" s="8" t="s">
        <v>51</v>
      </c>
      <c r="E11" s="8" t="s">
        <v>57</v>
      </c>
      <c r="F11" s="8" t="s">
        <v>64</v>
      </c>
      <c r="G11" s="8" t="s">
        <v>81</v>
      </c>
      <c r="H11" s="8" t="s">
        <v>86</v>
      </c>
      <c r="I11" s="8" t="s">
        <v>89</v>
      </c>
      <c r="J11" s="8" t="s">
        <v>74</v>
      </c>
      <c r="K11" s="8" t="s">
        <v>91</v>
      </c>
      <c r="L11" s="8" t="s">
        <v>96</v>
      </c>
      <c r="M11" s="8" t="s">
        <v>102</v>
      </c>
      <c r="N11" s="8" t="s">
        <v>105</v>
      </c>
      <c r="O11" s="8" t="s">
        <v>113</v>
      </c>
      <c r="P11" s="8" t="s">
        <v>115</v>
      </c>
      <c r="Q11" s="8" t="s">
        <v>117</v>
      </c>
      <c r="R11" s="7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</row>
    <row r="12" spans="1:22" ht="68.25" customHeight="1">
      <c r="A12" s="61" t="s">
        <v>309</v>
      </c>
      <c r="B12" s="62"/>
      <c r="C12" s="63" t="s">
        <v>309</v>
      </c>
      <c r="D12" s="64">
        <f>5618223800</f>
        <v>5618223800</v>
      </c>
      <c r="E12" s="64">
        <f>3784943300</f>
        <v>3784943300</v>
      </c>
      <c r="F12" s="64">
        <f>3784943300</f>
        <v>3784943300</v>
      </c>
      <c r="G12" s="64">
        <f>3484943300</f>
        <v>3484943300</v>
      </c>
      <c r="H12" s="64">
        <f>3184943300</f>
        <v>3184943300</v>
      </c>
      <c r="I12" s="64">
        <f>2784943300</f>
        <v>2784943300</v>
      </c>
      <c r="J12" s="64">
        <f>2784943300</f>
        <v>2784943300</v>
      </c>
      <c r="K12" s="64">
        <f>2784943300</f>
        <v>2784943300</v>
      </c>
      <c r="L12" s="64">
        <f>3184943300</f>
        <v>3184943300</v>
      </c>
      <c r="M12" s="64">
        <f>5124943300</f>
        <v>5124943300</v>
      </c>
      <c r="N12" s="64">
        <f>5084457000</f>
        <v>5084457000</v>
      </c>
      <c r="O12" s="64">
        <f>4824457000</f>
        <v>4824457000</v>
      </c>
      <c r="P12" s="64">
        <f>5618223800</f>
        <v>5618223800</v>
      </c>
      <c r="Q12" s="64">
        <f>5618223800</f>
        <v>5618223800</v>
      </c>
      <c r="R12" s="7"/>
      <c r="S12" s="3"/>
      <c r="T12" s="3"/>
      <c r="U12" s="3"/>
      <c r="V12" s="3"/>
    </row>
    <row r="13" spans="1:22" ht="72.75" customHeight="1">
      <c r="A13" s="61" t="s">
        <v>310</v>
      </c>
      <c r="B13" s="62"/>
      <c r="C13" s="63" t="s">
        <v>310</v>
      </c>
      <c r="D13" s="64">
        <f>0</f>
        <v>0</v>
      </c>
      <c r="E13" s="64">
        <f>0</f>
        <v>0</v>
      </c>
      <c r="F13" s="64">
        <f>0</f>
        <v>0</v>
      </c>
      <c r="G13" s="64">
        <f>0</f>
        <v>0</v>
      </c>
      <c r="H13" s="64">
        <f>0</f>
        <v>0</v>
      </c>
      <c r="I13" s="64">
        <f>0</f>
        <v>0</v>
      </c>
      <c r="J13" s="64">
        <f>0</f>
        <v>0</v>
      </c>
      <c r="K13" s="64">
        <f>0</f>
        <v>0</v>
      </c>
      <c r="L13" s="64">
        <f>0</f>
        <v>0</v>
      </c>
      <c r="M13" s="64">
        <f>0</f>
        <v>0</v>
      </c>
      <c r="N13" s="64">
        <f>0</f>
        <v>0</v>
      </c>
      <c r="O13" s="64">
        <f>0</f>
        <v>0</v>
      </c>
      <c r="P13" s="64">
        <f>0</f>
        <v>0</v>
      </c>
      <c r="Q13" s="64">
        <f>0</f>
        <v>0</v>
      </c>
      <c r="R13" s="7"/>
      <c r="S13" s="3"/>
      <c r="T13" s="3"/>
      <c r="U13" s="3"/>
      <c r="V13" s="3"/>
    </row>
    <row r="14" spans="1:22" ht="72" customHeight="1">
      <c r="A14" s="61" t="s">
        <v>311</v>
      </c>
      <c r="B14" s="62"/>
      <c r="C14" s="63" t="s">
        <v>311</v>
      </c>
      <c r="D14" s="64">
        <f>229598954.43</f>
        <v>229598954.43</v>
      </c>
      <c r="E14" s="64">
        <f>228414161.87</f>
        <v>228414161.87</v>
      </c>
      <c r="F14" s="64">
        <f>216496636.36</f>
        <v>216496636.36</v>
      </c>
      <c r="G14" s="64">
        <f>204383816.36</f>
        <v>204383816.36</v>
      </c>
      <c r="H14" s="64">
        <f>145673340</f>
        <v>145673340</v>
      </c>
      <c r="I14" s="64">
        <f>235068645.48</f>
        <v>235068645.48</v>
      </c>
      <c r="J14" s="64">
        <f>226163289.14</f>
        <v>226163289.14</v>
      </c>
      <c r="K14" s="64">
        <f>223020723.23</f>
        <v>223020723.23</v>
      </c>
      <c r="L14" s="64">
        <f>222637868.65</f>
        <v>222637868.65</v>
      </c>
      <c r="M14" s="64">
        <f>207506786.42</f>
        <v>207506786.42</v>
      </c>
      <c r="N14" s="64">
        <f>200176478.85</f>
        <v>200176478.85</v>
      </c>
      <c r="O14" s="64">
        <f>242319003.85</f>
        <v>242319003.85</v>
      </c>
      <c r="P14" s="64">
        <f>229598954.43</f>
        <v>229598954.43</v>
      </c>
      <c r="Q14" s="64">
        <f>229598954.43</f>
        <v>229598954.43</v>
      </c>
      <c r="R14" s="7"/>
      <c r="S14" s="3"/>
      <c r="T14" s="3"/>
      <c r="U14" s="3"/>
      <c r="V14" s="3"/>
    </row>
    <row r="15" spans="1:22" ht="86.25" customHeight="1">
      <c r="A15" s="61" t="s">
        <v>312</v>
      </c>
      <c r="B15" s="62"/>
      <c r="C15" s="63" t="s">
        <v>312</v>
      </c>
      <c r="D15" s="64">
        <f>986017000</f>
        <v>986017000</v>
      </c>
      <c r="E15" s="64">
        <f>2193526900</f>
        <v>2193526900</v>
      </c>
      <c r="F15" s="64">
        <f>2193526900</f>
        <v>2193526900</v>
      </c>
      <c r="G15" s="64">
        <f>2193526900</f>
        <v>2193526900</v>
      </c>
      <c r="H15" s="64">
        <f>2193526900</f>
        <v>2193526900</v>
      </c>
      <c r="I15" s="64">
        <f>2193526900</f>
        <v>2193526900</v>
      </c>
      <c r="J15" s="64">
        <f>2076017000</f>
        <v>2076017000</v>
      </c>
      <c r="K15" s="64">
        <f>2076017000</f>
        <v>2076017000</v>
      </c>
      <c r="L15" s="64">
        <f>2076017000</f>
        <v>2076017000</v>
      </c>
      <c r="M15" s="64">
        <f>636017000</f>
        <v>636017000</v>
      </c>
      <c r="N15" s="64">
        <f>986017000</f>
        <v>986017000</v>
      </c>
      <c r="O15" s="64">
        <f>986017000</f>
        <v>986017000</v>
      </c>
      <c r="P15" s="64">
        <f>986017000</f>
        <v>986017000</v>
      </c>
      <c r="Q15" s="64">
        <f>986017000</f>
        <v>986017000</v>
      </c>
      <c r="R15" s="7"/>
      <c r="S15" s="3"/>
      <c r="T15" s="3"/>
      <c r="U15" s="3"/>
      <c r="V15" s="3"/>
    </row>
    <row r="16" spans="1:22" ht="23.25" customHeight="1">
      <c r="A16" s="61" t="s">
        <v>206</v>
      </c>
      <c r="B16" s="62"/>
      <c r="C16" s="63" t="s">
        <v>206</v>
      </c>
      <c r="D16" s="64">
        <f>6833839754.43</f>
        <v>6833839754.43</v>
      </c>
      <c r="E16" s="64">
        <f>6206884361.87</f>
        <v>6206884361.87</v>
      </c>
      <c r="F16" s="64">
        <f>6194966836.36</f>
        <v>6194966836.36</v>
      </c>
      <c r="G16" s="64">
        <f>5882854016.36</f>
        <v>5882854016.36</v>
      </c>
      <c r="H16" s="64">
        <f>5524143540</f>
        <v>5524143540</v>
      </c>
      <c r="I16" s="64">
        <f>5213538845.48</f>
        <v>5213538845.48</v>
      </c>
      <c r="J16" s="64">
        <f>5087123589.14</f>
        <v>5087123589.14</v>
      </c>
      <c r="K16" s="64">
        <f>5083981023.23</f>
        <v>5083981023.23</v>
      </c>
      <c r="L16" s="64">
        <f>5483598168.65</f>
        <v>5483598168.65</v>
      </c>
      <c r="M16" s="64">
        <f>5968467086.42</f>
        <v>5968467086.42</v>
      </c>
      <c r="N16" s="64">
        <f>6270650478.85</f>
        <v>6270650478.85</v>
      </c>
      <c r="O16" s="64">
        <f>6052793003.85</f>
        <v>6052793003.85</v>
      </c>
      <c r="P16" s="64">
        <f>6833839754.43</f>
        <v>6833839754.43</v>
      </c>
      <c r="Q16" s="64">
        <f>6833839754.43</f>
        <v>6833839754.43</v>
      </c>
      <c r="R16" s="7"/>
      <c r="S16" s="3"/>
      <c r="T16" s="3"/>
      <c r="U16" s="3"/>
      <c r="V16" s="3"/>
    </row>
    <row r="17" spans="1:22" ht="15">
      <c r="A17" s="65"/>
      <c r="B17" s="66"/>
      <c r="C17" s="6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9"/>
      <c r="S17" s="3"/>
      <c r="T17" s="3"/>
      <c r="U17" s="3"/>
      <c r="V17" s="3"/>
    </row>
    <row r="18" spans="1:145" ht="18">
      <c r="A18" s="1" t="s">
        <v>205</v>
      </c>
      <c r="B18" s="70"/>
      <c r="C18" s="71" t="s">
        <v>314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</row>
    <row r="19" spans="1:131" ht="37.5" customHeight="1">
      <c r="A19" s="30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</row>
    <row r="20" spans="1:131" ht="20.25">
      <c r="A20" s="30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</row>
    <row r="21" spans="2:131" ht="21.75" customHeight="1">
      <c r="B21" s="74"/>
      <c r="C21" s="75"/>
      <c r="D21" s="75"/>
      <c r="E21" s="75"/>
      <c r="F21" s="75"/>
      <c r="G21" s="75"/>
      <c r="H21" s="75"/>
      <c r="I21" s="75"/>
      <c r="J21" s="75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</row>
    <row r="22" spans="2:131" ht="21">
      <c r="B22" s="74"/>
      <c r="C22" s="75"/>
      <c r="D22" s="75"/>
      <c r="E22" s="75"/>
      <c r="F22" s="75"/>
      <c r="G22" s="75"/>
      <c r="H22" s="75"/>
      <c r="I22" s="75"/>
      <c r="J22" s="75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</row>
    <row r="23" spans="2:131" ht="21">
      <c r="B23" s="74"/>
      <c r="C23" s="75"/>
      <c r="D23" s="75"/>
      <c r="E23" s="75"/>
      <c r="F23" s="75"/>
      <c r="G23" s="75"/>
      <c r="H23" s="75"/>
      <c r="I23" s="75"/>
      <c r="J23" s="75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</row>
    <row r="24" spans="3:10" ht="15">
      <c r="C24" s="76"/>
      <c r="D24" s="76"/>
      <c r="E24" s="76"/>
      <c r="F24" s="76"/>
      <c r="G24" s="76"/>
      <c r="H24" s="76"/>
      <c r="I24" s="76"/>
      <c r="J24" s="76"/>
    </row>
  </sheetData>
  <sheetProtection/>
  <mergeCells count="21">
    <mergeCell ref="O5:O9"/>
    <mergeCell ref="P5:P9"/>
    <mergeCell ref="Q5:Q9"/>
    <mergeCell ref="B19:EA19"/>
    <mergeCell ref="B20:EA20"/>
    <mergeCell ref="I5:I9"/>
    <mergeCell ref="J5:J9"/>
    <mergeCell ref="K5:K9"/>
    <mergeCell ref="L5:L9"/>
    <mergeCell ref="M5:M9"/>
    <mergeCell ref="N5:N9"/>
    <mergeCell ref="C1:Q1"/>
    <mergeCell ref="C2:Q2"/>
    <mergeCell ref="C3:Q3"/>
    <mergeCell ref="C4:Q4"/>
    <mergeCell ref="C5:C9"/>
    <mergeCell ref="D5:D9"/>
    <mergeCell ref="E5:E9"/>
    <mergeCell ref="F5:F9"/>
    <mergeCell ref="G5:G9"/>
    <mergeCell ref="H5:H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Скопцова Ю.М.</dc:creator>
  <cp:keywords/>
  <dc:description/>
  <cp:lastModifiedBy>Скопцова Ю.М.</cp:lastModifiedBy>
  <cp:lastPrinted>2013-01-30T11:20:47Z</cp:lastPrinted>
  <dcterms:created xsi:type="dcterms:W3CDTF">2013-01-14T12:32:59Z</dcterms:created>
  <dcterms:modified xsi:type="dcterms:W3CDTF">2013-02-21T11:34:26Z</dcterms:modified>
  <cp:category/>
  <cp:version/>
  <cp:contentType/>
  <cp:contentStatus/>
</cp:coreProperties>
</file>