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Titles" localSheetId="0">'Раздел 1'!$12:$12</definedName>
  </definedNames>
  <calcPr fullCalcOnLoad="1"/>
</workbook>
</file>

<file path=xl/sharedStrings.xml><?xml version="1.0" encoding="utf-8"?>
<sst xmlns="http://schemas.openxmlformats.org/spreadsheetml/2006/main" count="2437" uniqueCount="313">
  <si>
    <t>01.01.2013</t>
  </si>
  <si>
    <t>01.10.2013</t>
  </si>
  <si>
    <t>I раздел - кредитные соглашения и договоры, заключенные от имени субъекта Российской Федерации - "Брянская область"</t>
  </si>
  <si>
    <t>1 октября 2013</t>
  </si>
  <si>
    <t>(руб.)</t>
  </si>
  <si>
    <t>2013</t>
  </si>
  <si>
    <t>№№ пп</t>
  </si>
  <si>
    <t>Вид долгового обязательства</t>
  </si>
  <si>
    <t>Объем долгового обязательства</t>
  </si>
  <si>
    <t>Основание возникновение долгового обязательства (нормативно-правовой акт области и др.)</t>
  </si>
  <si>
    <t>№ и дата кредитного договора (соглашения), договора поручительства, договора о предоставлении государственной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</si>
  <si>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</si>
  <si>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</si>
  <si>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</si>
  <si>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Изменение обязательств в течение 2013 года</t>
  </si>
  <si>
    <t>Задолженность на 01.10.2013</t>
  </si>
  <si>
    <t>Расходы на обслуживание долгового обязательства</t>
  </si>
  <si>
    <t>Примечание</t>
  </si>
  <si>
    <t>Договор получения кредитов</t>
  </si>
  <si>
    <t>Срок пользования заемными средствами</t>
  </si>
  <si>
    <t>Процентные платежи</t>
  </si>
  <si>
    <t>Привлечено</t>
  </si>
  <si>
    <t>Погашено (основной долг)</t>
  </si>
  <si>
    <t>Вид расходов (%, купон-ные платежи, штрафные санкции)</t>
  </si>
  <si>
    <t>Дата</t>
  </si>
  <si>
    <t>Сумма</t>
  </si>
  <si>
    <t>начало</t>
  </si>
  <si>
    <t>окончание</t>
  </si>
  <si>
    <t>%   годовых</t>
  </si>
  <si>
    <t>#Н/Д</t>
  </si>
  <si>
    <t>#R/D</t>
  </si>
  <si>
    <t>0</t>
  </si>
  <si>
    <t>1</t>
  </si>
  <si>
    <t>Кредитный договор с АК Сберегательный банк Российской Федерации    (Брянское ОСБ № 8605)</t>
  </si>
  <si>
    <t>Закон Брянской области "Об областном бюджете на 2011 год и на плановый период 2012 и 2013 годов" от 06.12.2010                № 105-З</t>
  </si>
  <si>
    <t>№145/1/0001/1/11 от 16.12.2011</t>
  </si>
  <si>
    <t>Финансирование дефицита областного бюджета и погашение государственных долговых обязательств</t>
  </si>
  <si>
    <t>16.12.2011</t>
  </si>
  <si>
    <t>14.06.2013</t>
  </si>
  <si>
    <t xml:space="preserve"> 8,5</t>
  </si>
  <si>
    <t>Уплата процента</t>
  </si>
  <si>
    <t>26.12.2011</t>
  </si>
  <si>
    <t>25.01.2012</t>
  </si>
  <si>
    <t>24.02.2012</t>
  </si>
  <si>
    <t>26.03.2012</t>
  </si>
  <si>
    <t>26.04.2012</t>
  </si>
  <si>
    <t>25.05.2012</t>
  </si>
  <si>
    <t>26.06.2012</t>
  </si>
  <si>
    <t>26.07.2012</t>
  </si>
  <si>
    <t>27.08.2012</t>
  </si>
  <si>
    <t>26.09.2012</t>
  </si>
  <si>
    <t>26.10.2012</t>
  </si>
  <si>
    <t>26.11.2012</t>
  </si>
  <si>
    <t>26.12.2012</t>
  </si>
  <si>
    <t>25.01.2013</t>
  </si>
  <si>
    <t>26.02.2013</t>
  </si>
  <si>
    <t>26.03.2013</t>
  </si>
  <si>
    <t>26.04.2013</t>
  </si>
  <si>
    <t>24.05.2013</t>
  </si>
  <si>
    <t>11.06.2013</t>
  </si>
  <si>
    <t>2</t>
  </si>
  <si>
    <t>№146/1/0001/1/11 от 16.12.2011</t>
  </si>
  <si>
    <t>28.05.2012</t>
  </si>
  <si>
    <t>25.04.2013</t>
  </si>
  <si>
    <t>3</t>
  </si>
  <si>
    <t>№147/1/0001/1/11 от 16.12.2011</t>
  </si>
  <si>
    <t>4</t>
  </si>
  <si>
    <t>Закон  брянской области "Об областном бюджете на 2012 год и на плановый период 2013 и 2014 годов" от 19.12.2011 № 131-З</t>
  </si>
  <si>
    <t>№00880012/25011100 от 14.08.2012</t>
  </si>
  <si>
    <t>14.08.2012</t>
  </si>
  <si>
    <t>13.02.2014</t>
  </si>
  <si>
    <t>9</t>
  </si>
  <si>
    <t>26.06.2013</t>
  </si>
  <si>
    <t>02.07.2013</t>
  </si>
  <si>
    <t>5</t>
  </si>
  <si>
    <t>Закон Брянской области "Об областном бюджете на 2012 год и на плановый период 2013 и 2014 годов" от 19.12.2011 № 131-З</t>
  </si>
  <si>
    <t>№00890012/25011100 от 14.08.2012</t>
  </si>
  <si>
    <t>6</t>
  </si>
  <si>
    <t>№01030012/25011100 от 11.09.2012</t>
  </si>
  <si>
    <t>11.09.2012</t>
  </si>
  <si>
    <t>10.03.2014</t>
  </si>
  <si>
    <t>7</t>
  </si>
  <si>
    <t>№01040012/25011100 от 11.09.2012</t>
  </si>
  <si>
    <t>8,54</t>
  </si>
  <si>
    <t>26.07.2013</t>
  </si>
  <si>
    <t>26.08.2013</t>
  </si>
  <si>
    <t>26.09.2013</t>
  </si>
  <si>
    <t>8</t>
  </si>
  <si>
    <t>№01050012/25011100 от 11.09.2012</t>
  </si>
  <si>
    <t>№01080012/25011100 от 19.09.2012</t>
  </si>
  <si>
    <t>19.09.2012</t>
  </si>
  <si>
    <t>18.03.2014</t>
  </si>
  <si>
    <t>10</t>
  </si>
  <si>
    <t>№01090012/25011100 от 19.09.2012</t>
  </si>
  <si>
    <t>8,95</t>
  </si>
  <si>
    <t>11</t>
  </si>
  <si>
    <t>№01100012/25011100 от 19.09.2012</t>
  </si>
  <si>
    <t>12</t>
  </si>
  <si>
    <t>№01180012/25011100 от 26.09.2012</t>
  </si>
  <si>
    <t>25.03.2014</t>
  </si>
  <si>
    <t>27.09.2012</t>
  </si>
  <si>
    <t>13</t>
  </si>
  <si>
    <t>№01190012/25011100 от 26.09.2012</t>
  </si>
  <si>
    <t>14</t>
  </si>
  <si>
    <t>Кредитное соглашение с Банком ВТБ (открытое акционерное общество) (филиал ОАО Банк ВТБ в г. Воронеже)</t>
  </si>
  <si>
    <t>№КС-725710/2012/00001 от 26.09.2012</t>
  </si>
  <si>
    <t>8,94</t>
  </si>
  <si>
    <t>28.09.2012</t>
  </si>
  <si>
    <t>23.10.2012</t>
  </si>
  <si>
    <t>21.11.2012</t>
  </si>
  <si>
    <t>21.12.2012</t>
  </si>
  <si>
    <t>22.01.2013</t>
  </si>
  <si>
    <t>21.02.2013</t>
  </si>
  <si>
    <t>21.03.2013</t>
  </si>
  <si>
    <t>23.04.2013</t>
  </si>
  <si>
    <t>21.05.2013</t>
  </si>
  <si>
    <t>21.06.2013</t>
  </si>
  <si>
    <t>23.07.2013</t>
  </si>
  <si>
    <t>21.08.2013</t>
  </si>
  <si>
    <t>23.09.2013</t>
  </si>
  <si>
    <t>15</t>
  </si>
  <si>
    <t>№КС-725710/2012/00002 от 26.09.2012</t>
  </si>
  <si>
    <t>16</t>
  </si>
  <si>
    <t>№КС-725710/2012/00003 от 26.09.2012</t>
  </si>
  <si>
    <t>17</t>
  </si>
  <si>
    <t>№КС-725710/2012/00004 от 26.09.2012</t>
  </si>
  <si>
    <t>18</t>
  </si>
  <si>
    <t>№КС-725710/2012/00006 от 08.10.2012</t>
  </si>
  <si>
    <t>08.10.2012</t>
  </si>
  <si>
    <t>04.04.2014</t>
  </si>
  <si>
    <t>19</t>
  </si>
  <si>
    <t>№КС-725710/2012/00007 от 15.10.2012</t>
  </si>
  <si>
    <t>15.10.2012</t>
  </si>
  <si>
    <t>14.04.2014</t>
  </si>
  <si>
    <t>20</t>
  </si>
  <si>
    <t>№КС-725710/2012/00013 от 12.12.2012</t>
  </si>
  <si>
    <t>12.12.2012</t>
  </si>
  <si>
    <t>11.06.2014</t>
  </si>
  <si>
    <t>21</t>
  </si>
  <si>
    <t>№КС-725710/2012/00014 от 12.12.2012</t>
  </si>
  <si>
    <t>22</t>
  </si>
  <si>
    <t>№КС-725710/2012/00015 от 12.12.2012</t>
  </si>
  <si>
    <t>23</t>
  </si>
  <si>
    <t>№КС-725710/2012/00016 от 17.12.2012</t>
  </si>
  <si>
    <t>17.12.2012</t>
  </si>
  <si>
    <t>16.06.2014</t>
  </si>
  <si>
    <t>9,0</t>
  </si>
  <si>
    <t>24</t>
  </si>
  <si>
    <t>№КС-725710/2012/00017 от 17.12.2012</t>
  </si>
  <si>
    <t>25</t>
  </si>
  <si>
    <t>№КС-725710/2012/00018 от 19.12.2012</t>
  </si>
  <si>
    <t>19.12.2012</t>
  </si>
  <si>
    <t>18.06.2014</t>
  </si>
  <si>
    <t>26</t>
  </si>
  <si>
    <t>Кредитный договор с ОАО "АКБ САРОВБИЗНЕСБАНК"</t>
  </si>
  <si>
    <t>Закон Брянской области "Об областном бюджете на 2013 год и на плановый период 2014 и 2015 годов" от 10.12.2012 № 90-З</t>
  </si>
  <si>
    <t>№12/2-13 от 13.02.2013</t>
  </si>
  <si>
    <t>13.02.2013</t>
  </si>
  <si>
    <t>12.08.2014</t>
  </si>
  <si>
    <t>9,11, со  02.07.2013 - 8,6 % годовых</t>
  </si>
  <si>
    <t>27.02.2013</t>
  </si>
  <si>
    <t>28.03.2013</t>
  </si>
  <si>
    <t>29.04.2013</t>
  </si>
  <si>
    <t>30.05.2013</t>
  </si>
  <si>
    <t>27.06.2013</t>
  </si>
  <si>
    <t>30.07.2013</t>
  </si>
  <si>
    <t>29.08.2013</t>
  </si>
  <si>
    <t>27.09.2013</t>
  </si>
  <si>
    <t>27</t>
  </si>
  <si>
    <t>№00370013/25011100 от 14.03.2013</t>
  </si>
  <si>
    <t>14.03.2013</t>
  </si>
  <si>
    <t>12.09.2014</t>
  </si>
  <si>
    <t>28</t>
  </si>
  <si>
    <t>№00410013/25011100 от 21.03.2013</t>
  </si>
  <si>
    <t>19.09.2014</t>
  </si>
  <si>
    <t>29</t>
  </si>
  <si>
    <t>№КС-725710/2013/00004 от 21.03.2013</t>
  </si>
  <si>
    <t>9,25</t>
  </si>
  <si>
    <t>30</t>
  </si>
  <si>
    <t>№00840013/25011100 от 10.06.2013</t>
  </si>
  <si>
    <t>10.06.2013</t>
  </si>
  <si>
    <t>09.12.2014</t>
  </si>
  <si>
    <t>8,04</t>
  </si>
  <si>
    <t>31</t>
  </si>
  <si>
    <t>№00850013/25011100 от 10.06.2013</t>
  </si>
  <si>
    <t>32</t>
  </si>
  <si>
    <t>№00900013/25011100 от 13.06.2013</t>
  </si>
  <si>
    <t>13.06.2013</t>
  </si>
  <si>
    <t>12.12.2014</t>
  </si>
  <si>
    <t>33</t>
  </si>
  <si>
    <t>№00940013/25011100 от 24.06.2013</t>
  </si>
  <si>
    <t>24.06.2013</t>
  </si>
  <si>
    <t>23.12.2014</t>
  </si>
  <si>
    <t>8,6</t>
  </si>
  <si>
    <t>34</t>
  </si>
  <si>
    <t>№00980013/25011100 от 01.07.2013</t>
  </si>
  <si>
    <t>01.07.2013</t>
  </si>
  <si>
    <t>26.12.2014</t>
  </si>
  <si>
    <t>35</t>
  </si>
  <si>
    <t>№00990013/25011100 от 01.07.2013</t>
  </si>
  <si>
    <t>36</t>
  </si>
  <si>
    <t>№01000013/25011100 от 01.07.2013</t>
  </si>
  <si>
    <t>37</t>
  </si>
  <si>
    <t>№01260013/25011100 от 05.08.2013</t>
  </si>
  <si>
    <t>05.08.2013</t>
  </si>
  <si>
    <t>04.02.2015</t>
  </si>
  <si>
    <t>38</t>
  </si>
  <si>
    <t>№01530013/25011100 от 23.09.2013</t>
  </si>
  <si>
    <t>20.03.2015</t>
  </si>
  <si>
    <t>39</t>
  </si>
  <si>
    <t>№КС-725710/2013/00009 от 25.09.2013</t>
  </si>
  <si>
    <t>25.09.2013</t>
  </si>
  <si>
    <t>24.03.2015</t>
  </si>
  <si>
    <t>40</t>
  </si>
  <si>
    <t>№КС-725710/2013/00010 от 25.09.2013</t>
  </si>
  <si>
    <t>9,24</t>
  </si>
  <si>
    <t>end</t>
  </si>
  <si>
    <t>Итого:</t>
  </si>
  <si>
    <t>Выписка</t>
  </si>
  <si>
    <t>из государственной долговой книги субъекта Российской Федерации - Брянской области</t>
  </si>
  <si>
    <t>о долговых обязательствах по состоянию на 01.10.2013 года</t>
  </si>
  <si>
    <t>30.09.2013</t>
  </si>
  <si>
    <t>II раздел- государственные займы Брянской области, осуществляемые путем выпуска ценных бумаг Брянской области</t>
  </si>
  <si>
    <t>Обязательство по ценным бумагам</t>
  </si>
  <si>
    <t>III раздел - государственные гарантии и договоры о предоставлении государственных гарантий Брянской области</t>
  </si>
  <si>
    <t>Договор поручительств и гарантий</t>
  </si>
  <si>
    <t>Соглашение о субзайме между Министерством финансов РФ, Государственным комитетом РФ по строительству и жилищно-коммунальному комплексу, Брянской областью, Муниципальным образованием "город Брянск" и Муниципальным унитарным предприятием "Брянский городской водоканал" города Брянска по проекту "Городское водоснабжение и канализация"</t>
  </si>
  <si>
    <t>Постановление Брянской областной Думы от 25.12.03 № 3-1232 "О предоставлении государственной гарантии МУП "Брянскгорводоканал", письмо Министерства финансов РФ от 03.03.04 № 26-05-07/1856</t>
  </si>
  <si>
    <t>№01-01-06/26-762 от 31.12.2003</t>
  </si>
  <si>
    <t>заимствования не привлекаются</t>
  </si>
  <si>
    <t>Дополнительное соглашение о бесспорном списании денежных средств от 26.12.03 в пользу финансового управления Брянской области между финансовым управлением Брянской городской администрации и Брянским городским отделением управления федерального казначейства Министерства финансов Российской Федерации по Брянской области</t>
  </si>
  <si>
    <t>31.12.2003</t>
  </si>
  <si>
    <t>15.12.2018</t>
  </si>
  <si>
    <t>см.примечание</t>
  </si>
  <si>
    <t>Согласно п.4.6. Соглашения о субзайме ставка процента, применяемая к каждому процентному периоду, равна плавающей ставке процента, установленной МБРР, с добавлением маржи Минфина РФ в размере 2% годовых. Сумма основного долга на каждую отчетную дату пересчитывается по курсу рубля к доллару США ЦБ РФ.</t>
  </si>
  <si>
    <t>Государственная гарантия Брянской области (в обеспечение исполнения обязательств ТнВ "Ударник" перед Брянским РФ ОАО "Россельхозбанк")</t>
  </si>
  <si>
    <t>Закон Брянской области "О внесении изменений в Закон Брянской области "Об областном бюджете на 2007 год" от 07.05.07 №61-З</t>
  </si>
  <si>
    <t>Договор о предоставлении государственной гарантии Брянской области №23 от 12.07.2007, государственная гарантия Брянской области №24 от 12.07.2007</t>
  </si>
  <si>
    <t>Нет</t>
  </si>
  <si>
    <t>13.07.2007</t>
  </si>
  <si>
    <t>24.06.2015</t>
  </si>
  <si>
    <t xml:space="preserve"> 14</t>
  </si>
  <si>
    <t>Согласно п.1.2. и 2.1. гос.гарантии гарантируются обязательства Принципала по основному долгу -          30 000 000 рублей.</t>
  </si>
  <si>
    <t>Государственная гарантия Брянской области (в обеспечение исполнения обязательств ГУП "Брянская областная продовольственная корпорация" перед Акционерным коммерческим банком "ИНВЕСТИЦИОННЫЙ ТОРГОВЫЙ БАНК" (ОАО))</t>
  </si>
  <si>
    <t>Закон об областном бюджете на 2012 год и на плановый период 2013 и 2014 годов от 19.12.2011 года № 131-З</t>
  </si>
  <si>
    <t>Договор о предоставлении государственной гарантии Брянской области №33 от 12.05.2012, государственная гарантия Брянской области №34 от 12.05.2012</t>
  </si>
  <si>
    <t>Договор залога от 12.05.2012г. №91</t>
  </si>
  <si>
    <t>12.05.2012</t>
  </si>
  <si>
    <t>10.07.2013</t>
  </si>
  <si>
    <t>Согласно п. 2.1. гос.гарантии гарантируются обязательства Принципала по основному долгу -  70 000 000 рублей и процентам не более 7 121 258,93 рублей. Уменьшение объема гарантии осуществляется на основании представленных ГУП "БОПК" документов о погашении основного долга и срочных процентов.</t>
  </si>
  <si>
    <t>Государственная гарантия Брянской области (в обеспечение исполнения обязательств ГУП "Брянская областная продовольственная корпорация" перед БРФ ОАО "Россельхозбанк)</t>
  </si>
  <si>
    <t>Договор о предоставлении государственной гарантии Брянской области №34 от 07.11.2012, государственная гарантия Брянской области №35 от 07.11.2012</t>
  </si>
  <si>
    <t>Договор залога № 200 от 07.11.2012г.</t>
  </si>
  <si>
    <t>07.11.2012</t>
  </si>
  <si>
    <t>30.12.2013</t>
  </si>
  <si>
    <t>10,75</t>
  </si>
  <si>
    <t>Согласно п. 2.1. государственной гарантии гарантируются обязательства Принципала по основному долгу -  50 000 000 рублей и процентам не более 3 622 270,80 рублей. Уменьшение объема гарантии осуществляется на основании представленных ГУП "БОПК" документов о погашении основного долга и срочных процентов.</t>
  </si>
  <si>
    <t>Закон  Брянской области "Об областном бюджете на 2013 год и на плановый период 2014 и 2015 годов" от 10.12.2012 года № 90-З  (с изменениями и дополнениями)</t>
  </si>
  <si>
    <t>Договор о предоставлении государственной гарантии Брянской области №35 от 09.04.2013, государственная гарантия Брянской области №36 от 09.04.2013</t>
  </si>
  <si>
    <t>Договор об ипотеке (договор о залоге недвижимости)  № 93 от 09.04.2013 года</t>
  </si>
  <si>
    <t>09.04.2013</t>
  </si>
  <si>
    <t>20.05.2014</t>
  </si>
  <si>
    <t>13,8</t>
  </si>
  <si>
    <t>Согласно п. 2.1. государственной гарантии гарантируются обязательства Принципала по основному долгу -  130 000 000 рублей и процентам не более 13 781 095,89 рублей. Уменьшение объема гарантии осуществляется на основании представленных ГУП "БОПК" документов о погашении основного долга и срочных процентов.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</si>
  <si>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</si>
  <si>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Привлеченный бюджетный кредит</t>
  </si>
  <si>
    <t>Соглашение с Министерством финансов РФ о предоставлении бюджету Брянской области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</si>
  <si>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Закон Брянской области "Об областном бюджете на 2010 год и на плановый период 2011 и 2012 годов"</t>
  </si>
  <si>
    <t>№01-01-06/06-152 от 12.05.2010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</si>
  <si>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</si>
  <si>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12.05.2010</t>
  </si>
  <si>
    <t>23.04.2015</t>
  </si>
  <si>
    <t>1/4 ставки рефинансирования ЦБ РФ, действующей на день заключения Соглашения о предоставлении бюджетного кредита</t>
  </si>
  <si>
    <t>17.12.2010</t>
  </si>
  <si>
    <t>20.12.2011</t>
  </si>
  <si>
    <t>20.12.2012</t>
  </si>
  <si>
    <t>Соглашение с Министерством финансов РФ о предоставлении бюджету Брянской области из федерального бюджета бюджетного кредита для частичного покрытия дефицита бюджета субьекта Российской Федерации</t>
  </si>
  <si>
    <t>№ 01-01-06/06-290 от 09.08.2010, дополнительное соглашение № 2 от 21.12.2012 к соглашению № 01-01-06/06-290 от 09.08.2010</t>
  </si>
  <si>
    <t>для частичного покрытия дефицита бюджета субьекта РФ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</si>
  <si>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</si>
  <si>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</si>
  <si>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</t>
  </si>
  <si>
    <t>Дополнительное соглашение заключено на основании постановления правительства РФ от 18 декабря 2012 г. №1325 "Об условиях и порядке проведения реструктуризации обязательств субъектов Российской Федерации перед Российской Федерацией по бюджетным кредитам"</t>
  </si>
  <si>
    <t>№01-01-06/06-515 от 13.12.2010, дополнительное соглашение № 2 от 21.12.2012 к соглашению 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</si>
  <si>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</si>
  <si>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</t>
  </si>
  <si>
    <t>22.12.2010</t>
  </si>
  <si>
    <t>Закон Брянской области "Об областном бюджете на 2012 год и на плановый период 2013 и 2014   годов"</t>
  </si>
  <si>
    <t>№01-01-06/06/302 от 01.10.2012</t>
  </si>
  <si>
    <t>03.10.2012</t>
  </si>
  <si>
    <t>11.09.2015</t>
  </si>
  <si>
    <t>1/2 ставки рефинансирования ЦБ РФ, действующей на день заключения Соглашения о предоставлении бюджетного кредита</t>
  </si>
  <si>
    <t>a</t>
  </si>
  <si>
    <t>V раздел- Итоговые значения каждого вида долга (по разделам I-IV, помесячно).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</si>
  <si>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</si>
  <si>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</si>
  <si>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</si>
  <si>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</si>
  <si>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</si>
  <si>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</si>
  <si>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</si>
  <si>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</si>
  <si>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</si>
  <si>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</si>
  <si>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</si>
  <si>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</si>
  <si>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</si>
  <si>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</si>
  <si>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</si>
  <si>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</si>
  <si>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</si>
  <si>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</si>
  <si>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Всего государственный долг на 1 октября 2013 года: 8 936 639 540,98  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</si>
</sst>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20"/>
      <color indexed="8"/>
      <name val="Calibri"/>
      <family val="2"/>
    </font>
    <font>
      <sz val="16"/>
      <color indexed="8"/>
      <name val="Arial Cyr"/>
      <family val="0"/>
    </font>
    <font>
      <sz val="16"/>
      <color indexed="9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Calibri"/>
      <family val="2"/>
    </font>
    <font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6"/>
      <color rgb="FFFFFFFF"/>
      <name val="Arial Cyr"/>
      <family val="0"/>
    </font>
    <font>
      <b/>
      <sz val="16"/>
      <color rgb="FF000000"/>
      <name val="Arial Cyr"/>
      <family val="0"/>
    </font>
    <font>
      <sz val="16"/>
      <color rgb="FF000000"/>
      <name val="Arial Cyr"/>
      <family val="0"/>
    </font>
    <font>
      <sz val="16"/>
      <color theme="1"/>
      <name val="Calibri"/>
      <family val="2"/>
    </font>
    <font>
      <sz val="12"/>
      <color rgb="FF000000"/>
      <name val="Arial Cyr"/>
      <family val="0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 vertical="top"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 shrinkToFit="1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/>
    </xf>
    <xf numFmtId="49" fontId="46" fillId="33" borderId="0" xfId="0" applyNumberFormat="1" applyFont="1" applyFill="1" applyAlignment="1">
      <alignment horizontal="center" vertical="center" shrinkToFit="1"/>
    </xf>
    <xf numFmtId="0" fontId="44" fillId="33" borderId="11" xfId="0" applyFont="1" applyFill="1" applyBorder="1" applyAlignment="1">
      <alignment horizontal="center" vertical="center" shrinkToFit="1"/>
    </xf>
    <xf numFmtId="0" fontId="46" fillId="33" borderId="15" xfId="0" applyFont="1" applyFill="1" applyBorder="1" applyAlignment="1" quotePrefix="1">
      <alignment horizontal="center" vertical="top" wrapText="1"/>
    </xf>
    <xf numFmtId="0" fontId="46" fillId="33" borderId="15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center" shrinkToFit="1"/>
    </xf>
    <xf numFmtId="0" fontId="46" fillId="33" borderId="16" xfId="0" applyFont="1" applyFill="1" applyBorder="1" applyAlignment="1">
      <alignment horizontal="center" vertical="top" wrapText="1"/>
    </xf>
    <xf numFmtId="0" fontId="44" fillId="33" borderId="17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49" fontId="47" fillId="34" borderId="18" xfId="0" applyNumberFormat="1" applyFont="1" applyFill="1" applyBorder="1" applyAlignment="1">
      <alignment vertical="top"/>
    </xf>
    <xf numFmtId="4" fontId="47" fillId="33" borderId="13" xfId="0" applyNumberFormat="1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/>
    </xf>
    <xf numFmtId="0" fontId="47" fillId="33" borderId="0" xfId="0" applyFont="1" applyFill="1" applyAlignment="1">
      <alignment/>
    </xf>
    <xf numFmtId="0" fontId="35" fillId="0" borderId="0" xfId="0" applyFont="1" applyAlignment="1">
      <alignment/>
    </xf>
    <xf numFmtId="4" fontId="46" fillId="33" borderId="15" xfId="0" applyNumberFormat="1" applyFont="1" applyFill="1" applyBorder="1" applyAlignment="1">
      <alignment horizontal="right" vertical="top" wrapText="1"/>
    </xf>
    <xf numFmtId="4" fontId="46" fillId="33" borderId="16" xfId="0" applyNumberFormat="1" applyFont="1" applyFill="1" applyBorder="1" applyAlignment="1">
      <alignment horizontal="right" vertical="top" wrapText="1"/>
    </xf>
    <xf numFmtId="4" fontId="47" fillId="33" borderId="13" xfId="0" applyNumberFormat="1" applyFont="1" applyFill="1" applyBorder="1" applyAlignment="1">
      <alignment horizontal="right" vertical="top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/>
    </xf>
    <xf numFmtId="49" fontId="46" fillId="33" borderId="13" xfId="0" applyNumberFormat="1" applyFont="1" applyFill="1" applyBorder="1" applyAlignment="1">
      <alignment horizontal="center" vertical="center" shrinkToFit="1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49" fillId="33" borderId="0" xfId="0" applyFont="1" applyFill="1" applyAlignment="1">
      <alignment horizontal="center" wrapText="1"/>
    </xf>
    <xf numFmtId="0" fontId="50" fillId="33" borderId="0" xfId="0" applyFont="1" applyFill="1" applyAlignment="1">
      <alignment/>
    </xf>
    <xf numFmtId="0" fontId="51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50" fillId="33" borderId="0" xfId="0" applyFont="1" applyFill="1" applyAlignment="1">
      <alignment horizontal="center" vertical="top"/>
    </xf>
    <xf numFmtId="0" fontId="44" fillId="33" borderId="16" xfId="0" applyFont="1" applyFill="1" applyBorder="1" applyAlignment="1">
      <alignment shrinkToFit="1"/>
    </xf>
    <xf numFmtId="0" fontId="46" fillId="33" borderId="11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6" fillId="33" borderId="16" xfId="0" applyFont="1" applyFill="1" applyBorder="1" applyAlignment="1">
      <alignment horizontal="center" vertical="center" shrinkToFit="1"/>
    </xf>
    <xf numFmtId="49" fontId="46" fillId="34" borderId="11" xfId="0" applyNumberFormat="1" applyFont="1" applyFill="1" applyBorder="1" applyAlignment="1">
      <alignment vertical="top"/>
    </xf>
    <xf numFmtId="0" fontId="52" fillId="34" borderId="15" xfId="0" applyFont="1" applyFill="1" applyBorder="1" applyAlignment="1">
      <alignment horizontal="left" vertical="top" wrapText="1"/>
    </xf>
    <xf numFmtId="4" fontId="52" fillId="34" borderId="15" xfId="0" applyNumberFormat="1" applyFont="1" applyFill="1" applyBorder="1" applyAlignment="1">
      <alignment horizontal="right" vertical="top" wrapText="1"/>
    </xf>
    <xf numFmtId="4" fontId="46" fillId="34" borderId="15" xfId="0" applyNumberFormat="1" applyFont="1" applyFill="1" applyBorder="1" applyAlignment="1">
      <alignment horizontal="right" vertical="top" wrapText="1"/>
    </xf>
    <xf numFmtId="0" fontId="44" fillId="33" borderId="0" xfId="0" applyFont="1" applyFill="1" applyAlignment="1">
      <alignment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top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6" fillId="33" borderId="0" xfId="0" applyFont="1" applyFill="1" applyAlignment="1">
      <alignment horizontal="right" vertical="center" wrapText="1"/>
    </xf>
    <xf numFmtId="0" fontId="50" fillId="33" borderId="0" xfId="0" applyFont="1" applyFill="1" applyAlignment="1">
      <alignment horizontal="center" vertical="center" wrapText="1"/>
    </xf>
    <xf numFmtId="0" fontId="46" fillId="33" borderId="10" xfId="0" applyFont="1" applyFill="1" applyBorder="1" applyAlignment="1">
      <alignment horizontal="right" shrinkToFit="1"/>
    </xf>
    <xf numFmtId="0" fontId="46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vertical="top" wrapText="1"/>
    </xf>
    <xf numFmtId="0" fontId="50" fillId="33" borderId="10" xfId="0" applyFont="1" applyFill="1" applyBorder="1" applyAlignment="1">
      <alignment horizontal="right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387</xdr:row>
      <xdr:rowOff>0</xdr:rowOff>
    </xdr:from>
    <xdr:to>
      <xdr:col>9</xdr:col>
      <xdr:colOff>200025</xdr:colOff>
      <xdr:row>437</xdr:row>
      <xdr:rowOff>0</xdr:rowOff>
    </xdr:to>
    <xdr:sp>
      <xdr:nvSpPr>
        <xdr:cNvPr id="1" name="_com_type" hidden="1"/>
        <xdr:cNvSpPr>
          <a:spLocks/>
        </xdr:cNvSpPr>
      </xdr:nvSpPr>
      <xdr:spPr>
        <a:xfrm>
          <a:off x="0" y="113423700"/>
          <a:ext cx="9525000" cy="952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388"/>
  <sheetViews>
    <sheetView showGridLines="0" showZeros="0" zoomScalePageLayoutView="0" workbookViewId="0" topLeftCell="J10">
      <selection activeCell="I8" sqref="I8:J8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2:20" ht="26.25">
      <c r="B1" s="55" t="s">
        <v>218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2:20" ht="26.25">
      <c r="B2" s="55" t="s">
        <v>219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2:20" ht="26.25">
      <c r="B3" s="55" t="s">
        <v>220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148" ht="18">
      <c r="A4" s="1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2"/>
      <c r="V4" s="2"/>
      <c r="W4" s="2"/>
      <c r="X4" s="2"/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20.25">
      <c r="A5" s="1" t="s">
        <v>1</v>
      </c>
      <c r="B5" s="57" t="s">
        <v>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2"/>
      <c r="V5" s="2"/>
      <c r="W5" s="2"/>
      <c r="X5" s="2"/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5" t="s">
        <v>3</v>
      </c>
      <c r="B6" s="58" t="s">
        <v>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3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95.25" customHeight="1">
      <c r="A7" s="6" t="s">
        <v>5</v>
      </c>
      <c r="B7" s="52" t="s">
        <v>6</v>
      </c>
      <c r="C7" s="45" t="s">
        <v>7</v>
      </c>
      <c r="D7" s="45" t="s">
        <v>8</v>
      </c>
      <c r="E7" s="45" t="s">
        <v>9</v>
      </c>
      <c r="F7" s="45" t="s">
        <v>10</v>
      </c>
      <c r="G7" s="45" t="s">
        <v>11</v>
      </c>
      <c r="H7" s="45" t="s">
        <v>12</v>
      </c>
      <c r="I7" s="48" t="s">
        <v>13</v>
      </c>
      <c r="J7" s="50"/>
      <c r="K7" s="49"/>
      <c r="L7" s="48" t="s">
        <v>14</v>
      </c>
      <c r="M7" s="50"/>
      <c r="N7" s="50"/>
      <c r="O7" s="49"/>
      <c r="P7" s="45" t="s">
        <v>15</v>
      </c>
      <c r="Q7" s="48" t="s">
        <v>16</v>
      </c>
      <c r="R7" s="50"/>
      <c r="S7" s="49"/>
      <c r="T7" s="45" t="s">
        <v>17</v>
      </c>
      <c r="U7" s="7"/>
      <c r="V7" s="3"/>
      <c r="W7" s="3"/>
      <c r="X7" s="3"/>
      <c r="Y7" s="4"/>
      <c r="Z7" s="4"/>
      <c r="AA7" s="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25.5" customHeight="1">
      <c r="A8" s="1" t="s">
        <v>18</v>
      </c>
      <c r="B8" s="53"/>
      <c r="C8" s="46"/>
      <c r="D8" s="46"/>
      <c r="E8" s="46"/>
      <c r="F8" s="46"/>
      <c r="G8" s="46"/>
      <c r="H8" s="46"/>
      <c r="I8" s="48" t="s">
        <v>19</v>
      </c>
      <c r="J8" s="49"/>
      <c r="K8" s="8" t="s">
        <v>20</v>
      </c>
      <c r="L8" s="48" t="s">
        <v>21</v>
      </c>
      <c r="M8" s="49"/>
      <c r="N8" s="48" t="s">
        <v>22</v>
      </c>
      <c r="O8" s="49"/>
      <c r="P8" s="46"/>
      <c r="Q8" s="45" t="s">
        <v>23</v>
      </c>
      <c r="R8" s="45" t="s">
        <v>24</v>
      </c>
      <c r="S8" s="45" t="s">
        <v>25</v>
      </c>
      <c r="T8" s="46"/>
      <c r="U8" s="7"/>
      <c r="V8" s="3"/>
      <c r="W8" s="3"/>
      <c r="X8" s="3"/>
      <c r="Y8" s="4"/>
      <c r="Z8" s="4"/>
      <c r="AA8" s="4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7"/>
      <c r="B9" s="53"/>
      <c r="C9" s="46"/>
      <c r="D9" s="46"/>
      <c r="E9" s="46"/>
      <c r="F9" s="46"/>
      <c r="G9" s="46"/>
      <c r="H9" s="46"/>
      <c r="I9" s="45" t="s">
        <v>26</v>
      </c>
      <c r="J9" s="45" t="s">
        <v>27</v>
      </c>
      <c r="K9" s="45" t="s">
        <v>28</v>
      </c>
      <c r="L9" s="45" t="s">
        <v>24</v>
      </c>
      <c r="M9" s="45" t="s">
        <v>25</v>
      </c>
      <c r="N9" s="45" t="s">
        <v>24</v>
      </c>
      <c r="O9" s="45" t="s">
        <v>25</v>
      </c>
      <c r="P9" s="46"/>
      <c r="Q9" s="46"/>
      <c r="R9" s="46"/>
      <c r="S9" s="46"/>
      <c r="T9" s="46"/>
      <c r="U9" s="7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15">
      <c r="A10" s="7"/>
      <c r="B10" s="53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15">
      <c r="A11" s="9"/>
      <c r="B11" s="54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7"/>
      <c r="V11" s="3" t="s">
        <v>29</v>
      </c>
      <c r="W11" s="3" t="s">
        <v>29</v>
      </c>
      <c r="X11" s="3" t="s">
        <v>29</v>
      </c>
      <c r="Y11" s="3" t="s">
        <v>29</v>
      </c>
      <c r="Z11" s="3" t="s">
        <v>29</v>
      </c>
      <c r="AA11" s="3" t="s">
        <v>29</v>
      </c>
      <c r="AB11" s="3" t="s">
        <v>29</v>
      </c>
      <c r="AC11" s="3" t="s">
        <v>29</v>
      </c>
      <c r="AD11" s="3" t="s">
        <v>29</v>
      </c>
      <c r="AE11" s="3" t="s">
        <v>29</v>
      </c>
      <c r="AF11" s="3" t="s">
        <v>29</v>
      </c>
      <c r="AG11" s="3" t="s">
        <v>29</v>
      </c>
      <c r="AH11" s="3" t="s">
        <v>29</v>
      </c>
      <c r="AI11" s="3" t="s">
        <v>29</v>
      </c>
      <c r="AJ11" s="3" t="s">
        <v>29</v>
      </c>
      <c r="AK11" s="3" t="s">
        <v>29</v>
      </c>
      <c r="AL11" s="3" t="s">
        <v>29</v>
      </c>
      <c r="AM11" s="3" t="s">
        <v>29</v>
      </c>
      <c r="AN11" s="3" t="s">
        <v>29</v>
      </c>
      <c r="AO11" s="3" t="s">
        <v>29</v>
      </c>
      <c r="AP11" s="3" t="s">
        <v>29</v>
      </c>
      <c r="AQ11" s="3" t="s">
        <v>29</v>
      </c>
      <c r="AR11" s="3" t="s">
        <v>29</v>
      </c>
      <c r="AS11" s="3" t="s">
        <v>29</v>
      </c>
      <c r="AT11" s="3" t="s">
        <v>29</v>
      </c>
      <c r="AU11" s="3" t="s">
        <v>29</v>
      </c>
      <c r="AV11" s="3" t="s">
        <v>29</v>
      </c>
      <c r="AW11" s="3" t="s">
        <v>29</v>
      </c>
      <c r="AX11" s="3" t="s">
        <v>29</v>
      </c>
      <c r="AY11" s="3" t="s">
        <v>29</v>
      </c>
      <c r="AZ11" s="3" t="s">
        <v>29</v>
      </c>
      <c r="BA11" s="3" t="s">
        <v>29</v>
      </c>
      <c r="BB11" s="3" t="s">
        <v>29</v>
      </c>
      <c r="BC11" s="3" t="s">
        <v>29</v>
      </c>
      <c r="BD11" s="3" t="s">
        <v>29</v>
      </c>
      <c r="BE11" s="3" t="s">
        <v>29</v>
      </c>
      <c r="BF11" s="3" t="s">
        <v>29</v>
      </c>
      <c r="BG11" s="3" t="s">
        <v>29</v>
      </c>
      <c r="BH11" s="3" t="s">
        <v>29</v>
      </c>
      <c r="BI11" s="3" t="s">
        <v>29</v>
      </c>
      <c r="BJ11" s="3" t="s">
        <v>29</v>
      </c>
      <c r="BK11" s="3" t="s">
        <v>29</v>
      </c>
      <c r="BL11" s="3" t="s">
        <v>29</v>
      </c>
      <c r="BM11" s="3" t="s">
        <v>29</v>
      </c>
      <c r="BN11" s="3" t="s">
        <v>29</v>
      </c>
      <c r="BO11" s="3" t="s">
        <v>29</v>
      </c>
      <c r="BP11" s="3" t="s">
        <v>29</v>
      </c>
      <c r="BQ11" s="3" t="s">
        <v>29</v>
      </c>
      <c r="BR11" s="3" t="s">
        <v>29</v>
      </c>
      <c r="BS11" s="3" t="s">
        <v>29</v>
      </c>
      <c r="BT11" s="3" t="s">
        <v>29</v>
      </c>
      <c r="BU11" s="3" t="s">
        <v>29</v>
      </c>
      <c r="BV11" s="3" t="s">
        <v>29</v>
      </c>
      <c r="BW11" s="3" t="s">
        <v>29</v>
      </c>
      <c r="BX11" s="3" t="s">
        <v>29</v>
      </c>
      <c r="BY11" s="3" t="s">
        <v>29</v>
      </c>
      <c r="BZ11" s="3" t="s">
        <v>29</v>
      </c>
      <c r="CA11" s="3" t="s">
        <v>29</v>
      </c>
      <c r="CB11" s="3" t="s">
        <v>29</v>
      </c>
      <c r="CC11" s="3" t="s">
        <v>29</v>
      </c>
      <c r="CD11" s="3" t="s">
        <v>29</v>
      </c>
      <c r="CE11" s="3" t="s">
        <v>29</v>
      </c>
      <c r="CF11" s="3" t="s">
        <v>29</v>
      </c>
      <c r="CG11" s="3" t="s">
        <v>29</v>
      </c>
      <c r="CH11" s="3" t="s">
        <v>29</v>
      </c>
      <c r="CI11" s="3" t="s">
        <v>29</v>
      </c>
      <c r="CJ11" s="3" t="s">
        <v>29</v>
      </c>
      <c r="CK11" s="3" t="s">
        <v>29</v>
      </c>
      <c r="CL11" s="3" t="s">
        <v>29</v>
      </c>
      <c r="CM11" s="3" t="s">
        <v>29</v>
      </c>
      <c r="CN11" s="3" t="s">
        <v>29</v>
      </c>
      <c r="CO11" s="3" t="s">
        <v>29</v>
      </c>
      <c r="CP11" s="3" t="s">
        <v>29</v>
      </c>
      <c r="CQ11" s="3" t="s">
        <v>29</v>
      </c>
      <c r="CR11" s="3" t="s">
        <v>29</v>
      </c>
      <c r="CS11" s="3" t="s">
        <v>29</v>
      </c>
      <c r="CT11" s="3" t="s">
        <v>29</v>
      </c>
      <c r="CU11" s="3" t="s">
        <v>29</v>
      </c>
      <c r="CV11" s="3" t="s">
        <v>29</v>
      </c>
      <c r="CW11" s="3" t="s">
        <v>29</v>
      </c>
      <c r="CX11" s="3" t="s">
        <v>29</v>
      </c>
      <c r="CY11" s="3" t="s">
        <v>29</v>
      </c>
      <c r="CZ11" s="3" t="s">
        <v>29</v>
      </c>
      <c r="DA11" s="3" t="s">
        <v>29</v>
      </c>
      <c r="DB11" s="3" t="s">
        <v>29</v>
      </c>
      <c r="DC11" s="3" t="s">
        <v>29</v>
      </c>
      <c r="DD11" s="3" t="s">
        <v>29</v>
      </c>
      <c r="DE11" s="3" t="s">
        <v>29</v>
      </c>
      <c r="DF11" s="3" t="s">
        <v>29</v>
      </c>
      <c r="DG11" s="3" t="s">
        <v>29</v>
      </c>
      <c r="DH11" s="3" t="s">
        <v>29</v>
      </c>
      <c r="DI11" s="3" t="s">
        <v>29</v>
      </c>
      <c r="DJ11" s="3" t="s">
        <v>29</v>
      </c>
      <c r="DK11" s="3" t="s">
        <v>29</v>
      </c>
      <c r="DL11" s="3" t="s">
        <v>29</v>
      </c>
      <c r="DM11" s="3" t="s">
        <v>29</v>
      </c>
      <c r="DN11" s="3" t="s">
        <v>29</v>
      </c>
      <c r="DO11" s="3" t="s">
        <v>29</v>
      </c>
      <c r="DP11" s="3" t="s">
        <v>29</v>
      </c>
      <c r="DQ11" s="3" t="s">
        <v>29</v>
      </c>
      <c r="DR11" s="3" t="s">
        <v>29</v>
      </c>
      <c r="DS11" s="3" t="s">
        <v>29</v>
      </c>
      <c r="DT11" s="3" t="s">
        <v>29</v>
      </c>
      <c r="DU11" s="3" t="s">
        <v>29</v>
      </c>
      <c r="DV11" s="3" t="s">
        <v>29</v>
      </c>
      <c r="DW11" s="3" t="s">
        <v>29</v>
      </c>
      <c r="DX11" s="3" t="s">
        <v>29</v>
      </c>
      <c r="DY11" s="3" t="s">
        <v>29</v>
      </c>
      <c r="DZ11" s="3" t="s">
        <v>29</v>
      </c>
      <c r="EA11" s="3" t="s">
        <v>29</v>
      </c>
      <c r="EB11" s="3" t="s">
        <v>29</v>
      </c>
      <c r="EC11" s="3" t="s">
        <v>29</v>
      </c>
      <c r="ED11" s="3" t="s">
        <v>29</v>
      </c>
      <c r="EE11" s="3" t="s">
        <v>29</v>
      </c>
      <c r="EF11" s="3" t="s">
        <v>29</v>
      </c>
      <c r="EG11" s="3" t="s">
        <v>29</v>
      </c>
      <c r="EH11" s="3" t="s">
        <v>29</v>
      </c>
      <c r="EI11" s="3" t="s">
        <v>29</v>
      </c>
      <c r="EJ11" s="3" t="s">
        <v>29</v>
      </c>
      <c r="EK11" s="3" t="s">
        <v>29</v>
      </c>
      <c r="EL11" s="3" t="s">
        <v>29</v>
      </c>
      <c r="EM11" s="3" t="s">
        <v>29</v>
      </c>
      <c r="EN11" s="3" t="s">
        <v>29</v>
      </c>
      <c r="EO11" s="3" t="s">
        <v>29</v>
      </c>
      <c r="EP11" s="3" t="s">
        <v>29</v>
      </c>
      <c r="EQ11" s="3" t="s">
        <v>29</v>
      </c>
      <c r="ER11" s="3" t="s">
        <v>29</v>
      </c>
    </row>
    <row r="12" spans="1:148" ht="15" hidden="1">
      <c r="A12" s="3" t="s">
        <v>30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102">
      <c r="A13" s="11" t="s">
        <v>31</v>
      </c>
      <c r="B13" s="12" t="s">
        <v>32</v>
      </c>
      <c r="C13" s="13" t="s">
        <v>33</v>
      </c>
      <c r="D13" s="23">
        <f>300000000</f>
        <v>300000000</v>
      </c>
      <c r="E13" s="13" t="s">
        <v>34</v>
      </c>
      <c r="F13" s="13" t="s">
        <v>35</v>
      </c>
      <c r="G13" s="13" t="s">
        <v>36</v>
      </c>
      <c r="H13" s="13"/>
      <c r="I13" s="13" t="s">
        <v>37</v>
      </c>
      <c r="J13" s="13" t="s">
        <v>38</v>
      </c>
      <c r="K13" s="12" t="s">
        <v>39</v>
      </c>
      <c r="L13" s="13"/>
      <c r="M13" s="13"/>
      <c r="N13" s="13"/>
      <c r="O13" s="23">
        <f>0</f>
        <v>0</v>
      </c>
      <c r="P13" s="23">
        <f>0</f>
        <v>0</v>
      </c>
      <c r="Q13" s="13" t="s">
        <v>40</v>
      </c>
      <c r="R13" s="13" t="s">
        <v>41</v>
      </c>
      <c r="S13" s="23">
        <f>768493.15</f>
        <v>768493.15</v>
      </c>
      <c r="T13" s="13"/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15">
      <c r="A14" s="14" t="s">
        <v>32</v>
      </c>
      <c r="B14" s="15"/>
      <c r="C14" s="15"/>
      <c r="D14" s="24">
        <f>0</f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4">
        <f>0</f>
        <v>0</v>
      </c>
      <c r="P14" s="24">
        <f>0</f>
        <v>0</v>
      </c>
      <c r="Q14" s="15" t="s">
        <v>40</v>
      </c>
      <c r="R14" s="15" t="s">
        <v>42</v>
      </c>
      <c r="S14" s="24">
        <f>2160599.59</f>
        <v>2160599.59</v>
      </c>
      <c r="T14" s="15"/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ht="15">
      <c r="A15" s="14" t="s">
        <v>32</v>
      </c>
      <c r="B15" s="15"/>
      <c r="C15" s="15"/>
      <c r="D15" s="24">
        <f>0</f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">
        <f>0</f>
        <v>0</v>
      </c>
      <c r="P15" s="24">
        <f>0</f>
        <v>0</v>
      </c>
      <c r="Q15" s="15" t="s">
        <v>40</v>
      </c>
      <c r="R15" s="15" t="s">
        <v>43</v>
      </c>
      <c r="S15" s="24">
        <f>2159836.07</f>
        <v>2159836.07</v>
      </c>
      <c r="T15" s="15"/>
      <c r="U15" s="7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ht="15">
      <c r="A16" s="14" t="s">
        <v>32</v>
      </c>
      <c r="B16" s="15"/>
      <c r="C16" s="15"/>
      <c r="D16" s="24">
        <f>0</f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4">
        <f>0</f>
        <v>0</v>
      </c>
      <c r="P16" s="24">
        <f>0</f>
        <v>0</v>
      </c>
      <c r="Q16" s="15" t="s">
        <v>40</v>
      </c>
      <c r="R16" s="15" t="s">
        <v>44</v>
      </c>
      <c r="S16" s="24">
        <f>2020491.8</f>
        <v>2020491.8</v>
      </c>
      <c r="T16" s="15"/>
      <c r="U16" s="7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15">
      <c r="A17" s="14" t="s">
        <v>32</v>
      </c>
      <c r="B17" s="15"/>
      <c r="C17" s="15"/>
      <c r="D17" s="24">
        <f>0</f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4">
        <f>0</f>
        <v>0</v>
      </c>
      <c r="P17" s="24">
        <f>0</f>
        <v>0</v>
      </c>
      <c r="Q17" s="15" t="s">
        <v>40</v>
      </c>
      <c r="R17" s="15" t="s">
        <v>45</v>
      </c>
      <c r="S17" s="24">
        <f>2159836.07</f>
        <v>2159836.07</v>
      </c>
      <c r="T17" s="15"/>
      <c r="U17" s="7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</row>
    <row r="18" spans="1:148" ht="15">
      <c r="A18" s="14" t="s">
        <v>32</v>
      </c>
      <c r="B18" s="15"/>
      <c r="C18" s="15"/>
      <c r="D18" s="24">
        <f>0</f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4">
        <f>0</f>
        <v>0</v>
      </c>
      <c r="P18" s="24">
        <f>0</f>
        <v>0</v>
      </c>
      <c r="Q18" s="15" t="s">
        <v>40</v>
      </c>
      <c r="R18" s="15" t="s">
        <v>46</v>
      </c>
      <c r="S18" s="24">
        <f>1985576.73</f>
        <v>1985576.73</v>
      </c>
      <c r="T18" s="15"/>
      <c r="U18" s="7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ht="15">
      <c r="A19" s="14" t="s">
        <v>32</v>
      </c>
      <c r="B19" s="15"/>
      <c r="C19" s="15"/>
      <c r="D19" s="24">
        <f>0</f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4">
        <f>0</f>
        <v>0</v>
      </c>
      <c r="P19" s="24">
        <f>0</f>
        <v>0</v>
      </c>
      <c r="Q19" s="15" t="s">
        <v>40</v>
      </c>
      <c r="R19" s="15" t="s">
        <v>47</v>
      </c>
      <c r="S19" s="24">
        <f>1619468.84</f>
        <v>1619468.84</v>
      </c>
      <c r="T19" s="15"/>
      <c r="U19" s="7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8" ht="15">
      <c r="A20" s="14" t="s">
        <v>32</v>
      </c>
      <c r="B20" s="15"/>
      <c r="C20" s="15"/>
      <c r="D20" s="24">
        <f>0</f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4">
        <f>0</f>
        <v>0</v>
      </c>
      <c r="P20" s="24">
        <f>0</f>
        <v>0</v>
      </c>
      <c r="Q20" s="15" t="s">
        <v>40</v>
      </c>
      <c r="R20" s="15" t="s">
        <v>48</v>
      </c>
      <c r="S20" s="24">
        <f>1567227.91</f>
        <v>1567227.91</v>
      </c>
      <c r="T20" s="15"/>
      <c r="U20" s="7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</row>
    <row r="21" spans="1:148" ht="15">
      <c r="A21" s="14" t="s">
        <v>32</v>
      </c>
      <c r="B21" s="15"/>
      <c r="C21" s="15"/>
      <c r="D21" s="24">
        <f>0</f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24">
        <f>0</f>
        <v>0</v>
      </c>
      <c r="P21" s="24">
        <f>0</f>
        <v>0</v>
      </c>
      <c r="Q21" s="15" t="s">
        <v>40</v>
      </c>
      <c r="R21" s="15" t="s">
        <v>49</v>
      </c>
      <c r="S21" s="24">
        <f>1619468.84</f>
        <v>1619468.84</v>
      </c>
      <c r="T21" s="15"/>
      <c r="U21" s="7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</row>
    <row r="22" spans="1:148" ht="15">
      <c r="A22" s="14" t="s">
        <v>32</v>
      </c>
      <c r="B22" s="15"/>
      <c r="C22" s="15"/>
      <c r="D22" s="24">
        <f>0</f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4">
        <f>0</f>
        <v>0</v>
      </c>
      <c r="P22" s="24">
        <f>0</f>
        <v>0</v>
      </c>
      <c r="Q22" s="15" t="s">
        <v>40</v>
      </c>
      <c r="R22" s="15" t="s">
        <v>50</v>
      </c>
      <c r="S22" s="24">
        <f>1619468.84</f>
        <v>1619468.84</v>
      </c>
      <c r="T22" s="15"/>
      <c r="U22" s="7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</row>
    <row r="23" spans="1:148" ht="15">
      <c r="A23" s="14" t="s">
        <v>32</v>
      </c>
      <c r="B23" s="15"/>
      <c r="C23" s="15"/>
      <c r="D23" s="24">
        <f>0</f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4">
        <f>0</f>
        <v>0</v>
      </c>
      <c r="P23" s="24">
        <f>0</f>
        <v>0</v>
      </c>
      <c r="Q23" s="15" t="s">
        <v>40</v>
      </c>
      <c r="R23" s="15" t="s">
        <v>51</v>
      </c>
      <c r="S23" s="24">
        <f>1567227.91</f>
        <v>1567227.91</v>
      </c>
      <c r="T23" s="15"/>
      <c r="U23" s="7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</row>
    <row r="24" spans="1:148" ht="15">
      <c r="A24" s="14" t="s">
        <v>32</v>
      </c>
      <c r="B24" s="15"/>
      <c r="C24" s="15"/>
      <c r="D24" s="24">
        <f>0</f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4">
        <f>0</f>
        <v>0</v>
      </c>
      <c r="P24" s="24">
        <f>0</f>
        <v>0</v>
      </c>
      <c r="Q24" s="15" t="s">
        <v>40</v>
      </c>
      <c r="R24" s="15" t="s">
        <v>52</v>
      </c>
      <c r="S24" s="24">
        <f>1619468.84</f>
        <v>1619468.84</v>
      </c>
      <c r="T24" s="15"/>
      <c r="U24" s="7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</row>
    <row r="25" spans="1:148" ht="15">
      <c r="A25" s="14" t="s">
        <v>32</v>
      </c>
      <c r="B25" s="15"/>
      <c r="C25" s="15"/>
      <c r="D25" s="24">
        <f>0</f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4">
        <f>0</f>
        <v>0</v>
      </c>
      <c r="P25" s="24">
        <f>0</f>
        <v>0</v>
      </c>
      <c r="Q25" s="15" t="s">
        <v>40</v>
      </c>
      <c r="R25" s="15" t="s">
        <v>53</v>
      </c>
      <c r="S25" s="24">
        <f>1567227.91</f>
        <v>1567227.91</v>
      </c>
      <c r="T25" s="15"/>
      <c r="U25" s="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</row>
    <row r="26" spans="1:148" ht="15">
      <c r="A26" s="14" t="s">
        <v>32</v>
      </c>
      <c r="B26" s="15"/>
      <c r="C26" s="15"/>
      <c r="D26" s="24">
        <f>0</f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4">
        <f>0</f>
        <v>0</v>
      </c>
      <c r="P26" s="24">
        <f>0</f>
        <v>0</v>
      </c>
      <c r="Q26" s="15" t="s">
        <v>40</v>
      </c>
      <c r="R26" s="15" t="s">
        <v>54</v>
      </c>
      <c r="S26" s="24">
        <f>1623333.24</f>
        <v>1623333.24</v>
      </c>
      <c r="T26" s="15"/>
      <c r="U26" s="7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</row>
    <row r="27" spans="1:148" ht="15">
      <c r="A27" s="14" t="s">
        <v>32</v>
      </c>
      <c r="B27" s="15"/>
      <c r="C27" s="15"/>
      <c r="D27" s="24">
        <f>0</f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4">
        <f>0</f>
        <v>0</v>
      </c>
      <c r="P27" s="24">
        <f>0</f>
        <v>0</v>
      </c>
      <c r="Q27" s="15" t="s">
        <v>40</v>
      </c>
      <c r="R27" s="15" t="s">
        <v>55</v>
      </c>
      <c r="S27" s="24">
        <f>1623905.74</f>
        <v>1623905.74</v>
      </c>
      <c r="T27" s="15"/>
      <c r="U27" s="7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</row>
    <row r="28" spans="1:148" ht="15">
      <c r="A28" s="14" t="s">
        <v>32</v>
      </c>
      <c r="B28" s="15"/>
      <c r="C28" s="15"/>
      <c r="D28" s="24">
        <f>0</f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4">
        <f>0</f>
        <v>0</v>
      </c>
      <c r="P28" s="24">
        <f>0</f>
        <v>0</v>
      </c>
      <c r="Q28" s="15" t="s">
        <v>40</v>
      </c>
      <c r="R28" s="15" t="s">
        <v>56</v>
      </c>
      <c r="S28" s="24">
        <f>1466753.57</f>
        <v>1466753.57</v>
      </c>
      <c r="T28" s="15"/>
      <c r="U28" s="7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</row>
    <row r="29" spans="1:148" ht="15">
      <c r="A29" s="14" t="s">
        <v>32</v>
      </c>
      <c r="B29" s="15"/>
      <c r="C29" s="15"/>
      <c r="D29" s="24">
        <f>0</f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4">
        <f>0</f>
        <v>0</v>
      </c>
      <c r="P29" s="24">
        <f>0</f>
        <v>0</v>
      </c>
      <c r="Q29" s="15" t="s">
        <v>40</v>
      </c>
      <c r="R29" s="15" t="s">
        <v>57</v>
      </c>
      <c r="S29" s="24">
        <f>1623905.74</f>
        <v>1623905.74</v>
      </c>
      <c r="T29" s="15"/>
      <c r="U29" s="7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</row>
    <row r="30" spans="1:148" ht="15">
      <c r="A30" s="14" t="s">
        <v>32</v>
      </c>
      <c r="B30" s="15"/>
      <c r="C30" s="15"/>
      <c r="D30" s="24">
        <f>0</f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4">
        <f>0</f>
        <v>0</v>
      </c>
      <c r="P30" s="24">
        <f>0</f>
        <v>0</v>
      </c>
      <c r="Q30" s="15" t="s">
        <v>40</v>
      </c>
      <c r="R30" s="15" t="s">
        <v>58</v>
      </c>
      <c r="S30" s="24">
        <f>1571521.68</f>
        <v>1571521.68</v>
      </c>
      <c r="T30" s="15"/>
      <c r="U30" s="7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</row>
    <row r="31" spans="1:148" ht="15">
      <c r="A31" s="14" t="s">
        <v>32</v>
      </c>
      <c r="B31" s="15"/>
      <c r="C31" s="15"/>
      <c r="D31" s="24">
        <f>0</f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 t="s">
        <v>59</v>
      </c>
      <c r="O31" s="24">
        <f>224943300</f>
        <v>224943300</v>
      </c>
      <c r="P31" s="24">
        <f>0</f>
        <v>0</v>
      </c>
      <c r="Q31" s="15" t="s">
        <v>40</v>
      </c>
      <c r="R31" s="15" t="s">
        <v>59</v>
      </c>
      <c r="S31" s="24">
        <f>785760.84</f>
        <v>785760.84</v>
      </c>
      <c r="T31" s="15"/>
      <c r="U31" s="7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</row>
    <row r="32" spans="1:148" ht="102">
      <c r="A32" s="11" t="s">
        <v>31</v>
      </c>
      <c r="B32" s="12" t="s">
        <v>60</v>
      </c>
      <c r="C32" s="13" t="s">
        <v>33</v>
      </c>
      <c r="D32" s="23">
        <f>350000000</f>
        <v>350000000</v>
      </c>
      <c r="E32" s="13" t="s">
        <v>34</v>
      </c>
      <c r="F32" s="13" t="s">
        <v>61</v>
      </c>
      <c r="G32" s="13" t="s">
        <v>36</v>
      </c>
      <c r="H32" s="13"/>
      <c r="I32" s="13" t="s">
        <v>37</v>
      </c>
      <c r="J32" s="13" t="s">
        <v>38</v>
      </c>
      <c r="K32" s="12" t="s">
        <v>39</v>
      </c>
      <c r="L32" s="13"/>
      <c r="M32" s="13"/>
      <c r="N32" s="13"/>
      <c r="O32" s="23">
        <f>0</f>
        <v>0</v>
      </c>
      <c r="P32" s="23">
        <f>0</f>
        <v>0</v>
      </c>
      <c r="Q32" s="13" t="s">
        <v>40</v>
      </c>
      <c r="R32" s="13" t="s">
        <v>41</v>
      </c>
      <c r="S32" s="23">
        <f>896575.34</f>
        <v>896575.34</v>
      </c>
      <c r="T32" s="13"/>
      <c r="U32" s="7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</row>
    <row r="33" spans="1:148" ht="15">
      <c r="A33" s="14" t="s">
        <v>32</v>
      </c>
      <c r="B33" s="15"/>
      <c r="C33" s="15"/>
      <c r="D33" s="24">
        <f>0</f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4">
        <f>0</f>
        <v>0</v>
      </c>
      <c r="P33" s="24">
        <f>0</f>
        <v>0</v>
      </c>
      <c r="Q33" s="15" t="s">
        <v>40</v>
      </c>
      <c r="R33" s="15" t="s">
        <v>42</v>
      </c>
      <c r="S33" s="24">
        <f>2520699.53</f>
        <v>2520699.53</v>
      </c>
      <c r="T33" s="15"/>
      <c r="U33" s="7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</row>
    <row r="34" spans="1:148" ht="15">
      <c r="A34" s="14" t="s">
        <v>32</v>
      </c>
      <c r="B34" s="15"/>
      <c r="C34" s="15"/>
      <c r="D34" s="24">
        <f>0</f>
        <v>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4">
        <f>0</f>
        <v>0</v>
      </c>
      <c r="P34" s="24">
        <f>0</f>
        <v>0</v>
      </c>
      <c r="Q34" s="15" t="s">
        <v>40</v>
      </c>
      <c r="R34" s="15" t="s">
        <v>43</v>
      </c>
      <c r="S34" s="24">
        <f>2519808.74</f>
        <v>2519808.74</v>
      </c>
      <c r="T34" s="15"/>
      <c r="U34" s="7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</row>
    <row r="35" spans="1:148" ht="15">
      <c r="A35" s="14" t="s">
        <v>32</v>
      </c>
      <c r="B35" s="15"/>
      <c r="C35" s="15"/>
      <c r="D35" s="24">
        <f>0</f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4">
        <f>0</f>
        <v>0</v>
      </c>
      <c r="P35" s="24">
        <f>0</f>
        <v>0</v>
      </c>
      <c r="Q35" s="15" t="s">
        <v>40</v>
      </c>
      <c r="R35" s="15" t="s">
        <v>44</v>
      </c>
      <c r="S35" s="24">
        <f>2357240.44</f>
        <v>2357240.44</v>
      </c>
      <c r="T35" s="15"/>
      <c r="U35" s="7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</row>
    <row r="36" spans="1:148" ht="15">
      <c r="A36" s="14" t="s">
        <v>32</v>
      </c>
      <c r="B36" s="15"/>
      <c r="C36" s="15"/>
      <c r="D36" s="24">
        <f>0</f>
        <v>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4">
        <f>0</f>
        <v>0</v>
      </c>
      <c r="P36" s="24">
        <f>0</f>
        <v>0</v>
      </c>
      <c r="Q36" s="15" t="s">
        <v>40</v>
      </c>
      <c r="R36" s="15" t="s">
        <v>45</v>
      </c>
      <c r="S36" s="24">
        <f>2519808.74</f>
        <v>2519808.74</v>
      </c>
      <c r="T36" s="15"/>
      <c r="U36" s="7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</row>
    <row r="37" spans="1:148" ht="15">
      <c r="A37" s="14" t="s">
        <v>32</v>
      </c>
      <c r="B37" s="15"/>
      <c r="C37" s="15"/>
      <c r="D37" s="24">
        <f>0</f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24">
        <f>0</f>
        <v>0</v>
      </c>
      <c r="P37" s="24">
        <f>0</f>
        <v>0</v>
      </c>
      <c r="Q37" s="15" t="s">
        <v>40</v>
      </c>
      <c r="R37" s="15" t="s">
        <v>62</v>
      </c>
      <c r="S37" s="24">
        <f>2438524.59</f>
        <v>2438524.59</v>
      </c>
      <c r="T37" s="15"/>
      <c r="U37" s="7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</row>
    <row r="38" spans="1:148" ht="15">
      <c r="A38" s="14" t="s">
        <v>32</v>
      </c>
      <c r="B38" s="15"/>
      <c r="C38" s="15"/>
      <c r="D38" s="24">
        <f>0</f>
        <v>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24">
        <f>0</f>
        <v>0</v>
      </c>
      <c r="P38" s="24">
        <f>0</f>
        <v>0</v>
      </c>
      <c r="Q38" s="15" t="s">
        <v>40</v>
      </c>
      <c r="R38" s="15" t="s">
        <v>47</v>
      </c>
      <c r="S38" s="24">
        <f>2519808.74</f>
        <v>2519808.74</v>
      </c>
      <c r="T38" s="15"/>
      <c r="U38" s="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</row>
    <row r="39" spans="1:148" ht="15">
      <c r="A39" s="14" t="s">
        <v>32</v>
      </c>
      <c r="B39" s="15"/>
      <c r="C39" s="15"/>
      <c r="D39" s="24">
        <f>0</f>
        <v>0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24">
        <f>0</f>
        <v>0</v>
      </c>
      <c r="P39" s="24">
        <f>0</f>
        <v>0</v>
      </c>
      <c r="Q39" s="15" t="s">
        <v>40</v>
      </c>
      <c r="R39" s="15" t="s">
        <v>48</v>
      </c>
      <c r="S39" s="24">
        <f>2438524.59</f>
        <v>2438524.59</v>
      </c>
      <c r="T39" s="15"/>
      <c r="U39" s="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</row>
    <row r="40" spans="1:148" ht="15">
      <c r="A40" s="14" t="s">
        <v>32</v>
      </c>
      <c r="B40" s="15"/>
      <c r="C40" s="15"/>
      <c r="D40" s="24">
        <f>0</f>
        <v>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24">
        <f>0</f>
        <v>0</v>
      </c>
      <c r="P40" s="24">
        <f>0</f>
        <v>0</v>
      </c>
      <c r="Q40" s="15" t="s">
        <v>40</v>
      </c>
      <c r="R40" s="15" t="s">
        <v>49</v>
      </c>
      <c r="S40" s="24">
        <f>2519808.74</f>
        <v>2519808.74</v>
      </c>
      <c r="T40" s="15"/>
      <c r="U40" s="7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</row>
    <row r="41" spans="1:148" ht="15">
      <c r="A41" s="14" t="s">
        <v>32</v>
      </c>
      <c r="B41" s="15"/>
      <c r="C41" s="15"/>
      <c r="D41" s="24">
        <f>0</f>
        <v>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24">
        <f>0</f>
        <v>0</v>
      </c>
      <c r="P41" s="24">
        <f>0</f>
        <v>0</v>
      </c>
      <c r="Q41" s="15" t="s">
        <v>40</v>
      </c>
      <c r="R41" s="15" t="s">
        <v>50</v>
      </c>
      <c r="S41" s="24">
        <f>2519808.74</f>
        <v>2519808.74</v>
      </c>
      <c r="T41" s="15"/>
      <c r="U41" s="7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</row>
    <row r="42" spans="1:148" ht="15">
      <c r="A42" s="14" t="s">
        <v>32</v>
      </c>
      <c r="B42" s="15"/>
      <c r="C42" s="15"/>
      <c r="D42" s="24">
        <f>0</f>
        <v>0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24">
        <f>0</f>
        <v>0</v>
      </c>
      <c r="P42" s="24">
        <f>0</f>
        <v>0</v>
      </c>
      <c r="Q42" s="15" t="s">
        <v>40</v>
      </c>
      <c r="R42" s="15" t="s">
        <v>51</v>
      </c>
      <c r="S42" s="24">
        <f>2438524.59</f>
        <v>2438524.59</v>
      </c>
      <c r="T42" s="15"/>
      <c r="U42" s="7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</row>
    <row r="43" spans="1:148" ht="15">
      <c r="A43" s="14" t="s">
        <v>32</v>
      </c>
      <c r="B43" s="15"/>
      <c r="C43" s="15"/>
      <c r="D43" s="24">
        <f>0</f>
        <v>0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24">
        <f>0</f>
        <v>0</v>
      </c>
      <c r="P43" s="24">
        <f>0</f>
        <v>0</v>
      </c>
      <c r="Q43" s="15" t="s">
        <v>40</v>
      </c>
      <c r="R43" s="15" t="s">
        <v>52</v>
      </c>
      <c r="S43" s="24">
        <f>2519808.74</f>
        <v>2519808.74</v>
      </c>
      <c r="T43" s="15"/>
      <c r="U43" s="7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</row>
    <row r="44" spans="1:148" ht="15">
      <c r="A44" s="14" t="s">
        <v>32</v>
      </c>
      <c r="B44" s="15"/>
      <c r="C44" s="15"/>
      <c r="D44" s="24">
        <f>0</f>
        <v>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24">
        <f>0</f>
        <v>0</v>
      </c>
      <c r="P44" s="24">
        <f>0</f>
        <v>0</v>
      </c>
      <c r="Q44" s="15" t="s">
        <v>40</v>
      </c>
      <c r="R44" s="15" t="s">
        <v>53</v>
      </c>
      <c r="S44" s="24">
        <f>2438524.59</f>
        <v>2438524.59</v>
      </c>
      <c r="T44" s="15"/>
      <c r="U44" s="7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</row>
    <row r="45" spans="1:148" ht="15">
      <c r="A45" s="14" t="s">
        <v>32</v>
      </c>
      <c r="B45" s="15"/>
      <c r="C45" s="15"/>
      <c r="D45" s="24">
        <f>0</f>
        <v>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24">
        <f>0</f>
        <v>0</v>
      </c>
      <c r="P45" s="24">
        <f>0</f>
        <v>0</v>
      </c>
      <c r="Q45" s="15" t="s">
        <v>40</v>
      </c>
      <c r="R45" s="15" t="s">
        <v>54</v>
      </c>
      <c r="S45" s="24">
        <f>2525821.54</f>
        <v>2525821.54</v>
      </c>
      <c r="T45" s="15"/>
      <c r="U45" s="7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</row>
    <row r="46" spans="1:148" ht="15">
      <c r="A46" s="14" t="s">
        <v>32</v>
      </c>
      <c r="B46" s="15"/>
      <c r="C46" s="15"/>
      <c r="D46" s="24">
        <f>0</f>
        <v>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24">
        <f>0</f>
        <v>0</v>
      </c>
      <c r="P46" s="24">
        <f>0</f>
        <v>0</v>
      </c>
      <c r="Q46" s="15" t="s">
        <v>40</v>
      </c>
      <c r="R46" s="15" t="s">
        <v>55</v>
      </c>
      <c r="S46" s="24">
        <f>2526712.33</f>
        <v>2526712.33</v>
      </c>
      <c r="T46" s="15"/>
      <c r="U46" s="7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</row>
    <row r="47" spans="1:148" ht="15">
      <c r="A47" s="14" t="s">
        <v>32</v>
      </c>
      <c r="B47" s="15"/>
      <c r="C47" s="15"/>
      <c r="D47" s="24">
        <f>0</f>
        <v>0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24">
        <f>0</f>
        <v>0</v>
      </c>
      <c r="P47" s="24">
        <f>0</f>
        <v>0</v>
      </c>
      <c r="Q47" s="15" t="s">
        <v>40</v>
      </c>
      <c r="R47" s="15" t="s">
        <v>56</v>
      </c>
      <c r="S47" s="24">
        <f>2282191.78</f>
        <v>2282191.78</v>
      </c>
      <c r="T47" s="15"/>
      <c r="U47" s="7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</row>
    <row r="48" spans="1:148" ht="15">
      <c r="A48" s="14" t="s">
        <v>32</v>
      </c>
      <c r="B48" s="15"/>
      <c r="C48" s="15"/>
      <c r="D48" s="24">
        <f>0</f>
        <v>0</v>
      </c>
      <c r="E48" s="15"/>
      <c r="F48" s="15"/>
      <c r="G48" s="15"/>
      <c r="H48" s="15"/>
      <c r="I48" s="15"/>
      <c r="J48" s="15"/>
      <c r="K48" s="15"/>
      <c r="L48" s="15"/>
      <c r="M48" s="15"/>
      <c r="N48" s="15" t="s">
        <v>63</v>
      </c>
      <c r="O48" s="24">
        <f>350000000</f>
        <v>350000000</v>
      </c>
      <c r="P48" s="24">
        <f>0</f>
        <v>0</v>
      </c>
      <c r="Q48" s="15" t="s">
        <v>40</v>
      </c>
      <c r="R48" s="15" t="s">
        <v>63</v>
      </c>
      <c r="S48" s="24">
        <f>2363698.63</f>
        <v>2363698.63</v>
      </c>
      <c r="T48" s="15"/>
      <c r="U48" s="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</row>
    <row r="49" spans="1:148" ht="102">
      <c r="A49" s="11" t="s">
        <v>31</v>
      </c>
      <c r="B49" s="12" t="s">
        <v>64</v>
      </c>
      <c r="C49" s="13" t="s">
        <v>33</v>
      </c>
      <c r="D49" s="23">
        <f>350000000</f>
        <v>350000000</v>
      </c>
      <c r="E49" s="13" t="s">
        <v>34</v>
      </c>
      <c r="F49" s="13" t="s">
        <v>65</v>
      </c>
      <c r="G49" s="13" t="s">
        <v>36</v>
      </c>
      <c r="H49" s="13"/>
      <c r="I49" s="13" t="s">
        <v>37</v>
      </c>
      <c r="J49" s="13" t="s">
        <v>38</v>
      </c>
      <c r="K49" s="12" t="s">
        <v>39</v>
      </c>
      <c r="L49" s="13"/>
      <c r="M49" s="13"/>
      <c r="N49" s="13"/>
      <c r="O49" s="23">
        <f>0</f>
        <v>0</v>
      </c>
      <c r="P49" s="23">
        <f>0</f>
        <v>0</v>
      </c>
      <c r="Q49" s="13" t="s">
        <v>40</v>
      </c>
      <c r="R49" s="13" t="s">
        <v>41</v>
      </c>
      <c r="S49" s="23">
        <f>896575.34</f>
        <v>896575.34</v>
      </c>
      <c r="T49" s="13"/>
      <c r="U49" s="7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</row>
    <row r="50" spans="1:148" ht="15">
      <c r="A50" s="14" t="s">
        <v>32</v>
      </c>
      <c r="B50" s="15"/>
      <c r="C50" s="15"/>
      <c r="D50" s="24">
        <f>0</f>
        <v>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24">
        <f>0</f>
        <v>0</v>
      </c>
      <c r="P50" s="24">
        <f>0</f>
        <v>0</v>
      </c>
      <c r="Q50" s="15" t="s">
        <v>40</v>
      </c>
      <c r="R50" s="15" t="s">
        <v>42</v>
      </c>
      <c r="S50" s="24">
        <f>2520699.53</f>
        <v>2520699.53</v>
      </c>
      <c r="T50" s="15"/>
      <c r="U50" s="7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</row>
    <row r="51" spans="1:148" ht="15">
      <c r="A51" s="14" t="s">
        <v>32</v>
      </c>
      <c r="B51" s="15"/>
      <c r="C51" s="15"/>
      <c r="D51" s="24">
        <f>0</f>
        <v>0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24">
        <f>0</f>
        <v>0</v>
      </c>
      <c r="P51" s="24">
        <f>0</f>
        <v>0</v>
      </c>
      <c r="Q51" s="15" t="s">
        <v>40</v>
      </c>
      <c r="R51" s="15" t="s">
        <v>43</v>
      </c>
      <c r="S51" s="24">
        <f>2519808.74</f>
        <v>2519808.74</v>
      </c>
      <c r="T51" s="15"/>
      <c r="U51" s="7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</row>
    <row r="52" spans="1:148" ht="15">
      <c r="A52" s="14" t="s">
        <v>32</v>
      </c>
      <c r="B52" s="15"/>
      <c r="C52" s="15"/>
      <c r="D52" s="24">
        <f>0</f>
        <v>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24">
        <f>0</f>
        <v>0</v>
      </c>
      <c r="P52" s="24">
        <f>0</f>
        <v>0</v>
      </c>
      <c r="Q52" s="15" t="s">
        <v>40</v>
      </c>
      <c r="R52" s="15" t="s">
        <v>44</v>
      </c>
      <c r="S52" s="24">
        <f>2357240.44</f>
        <v>2357240.44</v>
      </c>
      <c r="T52" s="15"/>
      <c r="U52" s="7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</row>
    <row r="53" spans="1:148" ht="15">
      <c r="A53" s="14" t="s">
        <v>32</v>
      </c>
      <c r="B53" s="15"/>
      <c r="C53" s="15"/>
      <c r="D53" s="24">
        <f>0</f>
        <v>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24">
        <f>0</f>
        <v>0</v>
      </c>
      <c r="P53" s="24">
        <f>0</f>
        <v>0</v>
      </c>
      <c r="Q53" s="15" t="s">
        <v>40</v>
      </c>
      <c r="R53" s="15" t="s">
        <v>45</v>
      </c>
      <c r="S53" s="24">
        <f>2519808.74</f>
        <v>2519808.74</v>
      </c>
      <c r="T53" s="15"/>
      <c r="U53" s="7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</row>
    <row r="54" spans="1:148" ht="15">
      <c r="A54" s="14" t="s">
        <v>32</v>
      </c>
      <c r="B54" s="15"/>
      <c r="C54" s="15"/>
      <c r="D54" s="24">
        <f>0</f>
        <v>0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24">
        <f>0</f>
        <v>0</v>
      </c>
      <c r="P54" s="24">
        <f>0</f>
        <v>0</v>
      </c>
      <c r="Q54" s="15" t="s">
        <v>40</v>
      </c>
      <c r="R54" s="15" t="s">
        <v>62</v>
      </c>
      <c r="S54" s="24">
        <f>2438524.59</f>
        <v>2438524.59</v>
      </c>
      <c r="T54" s="15"/>
      <c r="U54" s="7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</row>
    <row r="55" spans="1:148" ht="15">
      <c r="A55" s="14" t="s">
        <v>32</v>
      </c>
      <c r="B55" s="15"/>
      <c r="C55" s="15"/>
      <c r="D55" s="24">
        <f>0</f>
        <v>0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4">
        <f>0</f>
        <v>0</v>
      </c>
      <c r="P55" s="24">
        <f>0</f>
        <v>0</v>
      </c>
      <c r="Q55" s="15" t="s">
        <v>40</v>
      </c>
      <c r="R55" s="15" t="s">
        <v>47</v>
      </c>
      <c r="S55" s="24">
        <f>2519808.74</f>
        <v>2519808.74</v>
      </c>
      <c r="T55" s="15"/>
      <c r="U55" s="7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</row>
    <row r="56" spans="1:148" ht="15">
      <c r="A56" s="14" t="s">
        <v>32</v>
      </c>
      <c r="B56" s="15"/>
      <c r="C56" s="15"/>
      <c r="D56" s="24">
        <f>0</f>
        <v>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24">
        <f>0</f>
        <v>0</v>
      </c>
      <c r="P56" s="24">
        <f>0</f>
        <v>0</v>
      </c>
      <c r="Q56" s="15" t="s">
        <v>40</v>
      </c>
      <c r="R56" s="15" t="s">
        <v>48</v>
      </c>
      <c r="S56" s="24">
        <f>2438524.59</f>
        <v>2438524.59</v>
      </c>
      <c r="T56" s="15"/>
      <c r="U56" s="7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</row>
    <row r="57" spans="1:148" ht="15">
      <c r="A57" s="14" t="s">
        <v>32</v>
      </c>
      <c r="B57" s="15"/>
      <c r="C57" s="15"/>
      <c r="D57" s="24">
        <f>0</f>
        <v>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24">
        <f>0</f>
        <v>0</v>
      </c>
      <c r="P57" s="24">
        <f>0</f>
        <v>0</v>
      </c>
      <c r="Q57" s="15" t="s">
        <v>40</v>
      </c>
      <c r="R57" s="15" t="s">
        <v>49</v>
      </c>
      <c r="S57" s="24">
        <f>2519808.74</f>
        <v>2519808.74</v>
      </c>
      <c r="T57" s="15"/>
      <c r="U57" s="7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</row>
    <row r="58" spans="1:148" ht="15">
      <c r="A58" s="14" t="s">
        <v>32</v>
      </c>
      <c r="B58" s="15"/>
      <c r="C58" s="15"/>
      <c r="D58" s="24">
        <f>0</f>
        <v>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24">
        <f>0</f>
        <v>0</v>
      </c>
      <c r="P58" s="24">
        <f>0</f>
        <v>0</v>
      </c>
      <c r="Q58" s="15" t="s">
        <v>40</v>
      </c>
      <c r="R58" s="15" t="s">
        <v>50</v>
      </c>
      <c r="S58" s="24">
        <f>2519808.74</f>
        <v>2519808.74</v>
      </c>
      <c r="T58" s="15"/>
      <c r="U58" s="7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</row>
    <row r="59" spans="1:148" ht="15">
      <c r="A59" s="14" t="s">
        <v>32</v>
      </c>
      <c r="B59" s="15"/>
      <c r="C59" s="15"/>
      <c r="D59" s="24">
        <f>0</f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24">
        <f>0</f>
        <v>0</v>
      </c>
      <c r="P59" s="24">
        <f>0</f>
        <v>0</v>
      </c>
      <c r="Q59" s="15" t="s">
        <v>40</v>
      </c>
      <c r="R59" s="15" t="s">
        <v>51</v>
      </c>
      <c r="S59" s="24">
        <f>2438524.59</f>
        <v>2438524.59</v>
      </c>
      <c r="T59" s="15"/>
      <c r="U59" s="7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</row>
    <row r="60" spans="1:148" ht="15">
      <c r="A60" s="14" t="s">
        <v>32</v>
      </c>
      <c r="B60" s="15"/>
      <c r="C60" s="15"/>
      <c r="D60" s="24">
        <f>0</f>
        <v>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24">
        <f>0</f>
        <v>0</v>
      </c>
      <c r="P60" s="24">
        <f>0</f>
        <v>0</v>
      </c>
      <c r="Q60" s="15" t="s">
        <v>40</v>
      </c>
      <c r="R60" s="15" t="s">
        <v>52</v>
      </c>
      <c r="S60" s="24">
        <f>2519808.74</f>
        <v>2519808.74</v>
      </c>
      <c r="T60" s="15"/>
      <c r="U60" s="7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</row>
    <row r="61" spans="1:148" ht="15">
      <c r="A61" s="14" t="s">
        <v>32</v>
      </c>
      <c r="B61" s="15"/>
      <c r="C61" s="15"/>
      <c r="D61" s="24">
        <f>0</f>
        <v>0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24">
        <f>0</f>
        <v>0</v>
      </c>
      <c r="P61" s="24">
        <f>0</f>
        <v>0</v>
      </c>
      <c r="Q61" s="15" t="s">
        <v>40</v>
      </c>
      <c r="R61" s="15" t="s">
        <v>53</v>
      </c>
      <c r="S61" s="24">
        <f>2438524.59</f>
        <v>2438524.59</v>
      </c>
      <c r="T61" s="15"/>
      <c r="U61" s="7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</row>
    <row r="62" spans="1:148" ht="15">
      <c r="A62" s="14" t="s">
        <v>32</v>
      </c>
      <c r="B62" s="15"/>
      <c r="C62" s="15"/>
      <c r="D62" s="24">
        <f>0</f>
        <v>0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24">
        <f>0</f>
        <v>0</v>
      </c>
      <c r="P62" s="24">
        <f>0</f>
        <v>0</v>
      </c>
      <c r="Q62" s="15" t="s">
        <v>40</v>
      </c>
      <c r="R62" s="15" t="s">
        <v>54</v>
      </c>
      <c r="S62" s="24">
        <f>2525821.54</f>
        <v>2525821.54</v>
      </c>
      <c r="T62" s="15"/>
      <c r="U62" s="7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</row>
    <row r="63" spans="1:148" ht="15">
      <c r="A63" s="14" t="s">
        <v>32</v>
      </c>
      <c r="B63" s="15"/>
      <c r="C63" s="15"/>
      <c r="D63" s="24">
        <f>0</f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24">
        <f>0</f>
        <v>0</v>
      </c>
      <c r="P63" s="24">
        <f>0</f>
        <v>0</v>
      </c>
      <c r="Q63" s="15" t="s">
        <v>40</v>
      </c>
      <c r="R63" s="15" t="s">
        <v>55</v>
      </c>
      <c r="S63" s="24">
        <f>2526712.33</f>
        <v>2526712.33</v>
      </c>
      <c r="T63" s="15"/>
      <c r="U63" s="7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</row>
    <row r="64" spans="1:148" ht="15">
      <c r="A64" s="14" t="s">
        <v>32</v>
      </c>
      <c r="B64" s="15"/>
      <c r="C64" s="15"/>
      <c r="D64" s="24">
        <f>0</f>
        <v>0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24">
        <f>0</f>
        <v>0</v>
      </c>
      <c r="P64" s="24">
        <f>0</f>
        <v>0</v>
      </c>
      <c r="Q64" s="15" t="s">
        <v>40</v>
      </c>
      <c r="R64" s="15" t="s">
        <v>56</v>
      </c>
      <c r="S64" s="24">
        <f>2282191.78</f>
        <v>2282191.78</v>
      </c>
      <c r="T64" s="15"/>
      <c r="U64" s="7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</row>
    <row r="65" spans="1:148" ht="15">
      <c r="A65" s="14" t="s">
        <v>32</v>
      </c>
      <c r="B65" s="15"/>
      <c r="C65" s="15"/>
      <c r="D65" s="24">
        <f>0</f>
        <v>0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24">
        <f>0</f>
        <v>0</v>
      </c>
      <c r="P65" s="24">
        <f>0</f>
        <v>0</v>
      </c>
      <c r="Q65" s="15" t="s">
        <v>40</v>
      </c>
      <c r="R65" s="15" t="s">
        <v>57</v>
      </c>
      <c r="S65" s="24">
        <f>2526712.33</f>
        <v>2526712.33</v>
      </c>
      <c r="T65" s="15"/>
      <c r="U65" s="7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</row>
    <row r="66" spans="1:148" ht="15">
      <c r="A66" s="14" t="s">
        <v>32</v>
      </c>
      <c r="B66" s="15"/>
      <c r="C66" s="15"/>
      <c r="D66" s="24">
        <f>0</f>
        <v>0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24">
        <f>0</f>
        <v>0</v>
      </c>
      <c r="P66" s="24">
        <f>0</f>
        <v>0</v>
      </c>
      <c r="Q66" s="15" t="s">
        <v>40</v>
      </c>
      <c r="R66" s="15" t="s">
        <v>58</v>
      </c>
      <c r="S66" s="24">
        <f>2445205.48</f>
        <v>2445205.48</v>
      </c>
      <c r="T66" s="15"/>
      <c r="U66" s="7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</row>
    <row r="67" spans="1:148" ht="15">
      <c r="A67" s="14" t="s">
        <v>32</v>
      </c>
      <c r="B67" s="15"/>
      <c r="C67" s="15"/>
      <c r="D67" s="24">
        <f>0</f>
        <v>0</v>
      </c>
      <c r="E67" s="15"/>
      <c r="F67" s="15"/>
      <c r="G67" s="15"/>
      <c r="H67" s="15"/>
      <c r="I67" s="15"/>
      <c r="J67" s="15"/>
      <c r="K67" s="15"/>
      <c r="L67" s="15"/>
      <c r="M67" s="15"/>
      <c r="N67" s="15" t="s">
        <v>59</v>
      </c>
      <c r="O67" s="24">
        <f>350000000</f>
        <v>350000000</v>
      </c>
      <c r="P67" s="24">
        <f>0</f>
        <v>0</v>
      </c>
      <c r="Q67" s="15" t="s">
        <v>40</v>
      </c>
      <c r="R67" s="15" t="s">
        <v>59</v>
      </c>
      <c r="S67" s="24">
        <f>1222602.74</f>
        <v>1222602.74</v>
      </c>
      <c r="T67" s="15"/>
      <c r="U67" s="7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</row>
    <row r="68" spans="1:148" ht="89.25">
      <c r="A68" s="11" t="s">
        <v>31</v>
      </c>
      <c r="B68" s="12" t="s">
        <v>66</v>
      </c>
      <c r="C68" s="13" t="s">
        <v>33</v>
      </c>
      <c r="D68" s="23">
        <f>190000000</f>
        <v>190000000</v>
      </c>
      <c r="E68" s="13" t="s">
        <v>67</v>
      </c>
      <c r="F68" s="13" t="s">
        <v>68</v>
      </c>
      <c r="G68" s="13" t="s">
        <v>36</v>
      </c>
      <c r="H68" s="13"/>
      <c r="I68" s="13" t="s">
        <v>69</v>
      </c>
      <c r="J68" s="13" t="s">
        <v>70</v>
      </c>
      <c r="K68" s="12" t="s">
        <v>71</v>
      </c>
      <c r="L68" s="13"/>
      <c r="M68" s="13"/>
      <c r="N68" s="13"/>
      <c r="O68" s="23">
        <f>0</f>
        <v>0</v>
      </c>
      <c r="P68" s="23">
        <f>0</f>
        <v>0</v>
      </c>
      <c r="Q68" s="13" t="s">
        <v>40</v>
      </c>
      <c r="R68" s="13" t="s">
        <v>49</v>
      </c>
      <c r="S68" s="23">
        <f>607377.05</f>
        <v>607377.05</v>
      </c>
      <c r="T68" s="13"/>
      <c r="U68" s="7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</row>
    <row r="69" spans="1:148" ht="15">
      <c r="A69" s="14" t="s">
        <v>32</v>
      </c>
      <c r="B69" s="15"/>
      <c r="C69" s="15"/>
      <c r="D69" s="24">
        <f>0</f>
        <v>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24">
        <f>0</f>
        <v>0</v>
      </c>
      <c r="P69" s="24">
        <f>0</f>
        <v>0</v>
      </c>
      <c r="Q69" s="15" t="s">
        <v>40</v>
      </c>
      <c r="R69" s="15" t="s">
        <v>50</v>
      </c>
      <c r="S69" s="24">
        <f>1448360.66</f>
        <v>1448360.66</v>
      </c>
      <c r="T69" s="15"/>
      <c r="U69" s="7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</row>
    <row r="70" spans="1:148" ht="15">
      <c r="A70" s="14" t="s">
        <v>32</v>
      </c>
      <c r="B70" s="15"/>
      <c r="C70" s="15"/>
      <c r="D70" s="24">
        <f>0</f>
        <v>0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24">
        <f>0</f>
        <v>0</v>
      </c>
      <c r="P70" s="24">
        <f>0</f>
        <v>0</v>
      </c>
      <c r="Q70" s="15" t="s">
        <v>40</v>
      </c>
      <c r="R70" s="15" t="s">
        <v>51</v>
      </c>
      <c r="S70" s="24">
        <f>1401639.34</f>
        <v>1401639.34</v>
      </c>
      <c r="T70" s="15"/>
      <c r="U70" s="7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</row>
    <row r="71" spans="1:148" ht="15">
      <c r="A71" s="14" t="s">
        <v>32</v>
      </c>
      <c r="B71" s="15"/>
      <c r="C71" s="15"/>
      <c r="D71" s="24">
        <f>0</f>
        <v>0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24">
        <f>0</f>
        <v>0</v>
      </c>
      <c r="P71" s="24">
        <f>0</f>
        <v>0</v>
      </c>
      <c r="Q71" s="15" t="s">
        <v>40</v>
      </c>
      <c r="R71" s="15" t="s">
        <v>52</v>
      </c>
      <c r="S71" s="24">
        <f>1448360.66</f>
        <v>1448360.66</v>
      </c>
      <c r="T71" s="15"/>
      <c r="U71" s="7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</row>
    <row r="72" spans="1:148" ht="15">
      <c r="A72" s="14" t="s">
        <v>32</v>
      </c>
      <c r="B72" s="15"/>
      <c r="C72" s="15"/>
      <c r="D72" s="24">
        <f>0</f>
        <v>0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24">
        <f>0</f>
        <v>0</v>
      </c>
      <c r="P72" s="24">
        <f>0</f>
        <v>0</v>
      </c>
      <c r="Q72" s="15" t="s">
        <v>40</v>
      </c>
      <c r="R72" s="15" t="s">
        <v>53</v>
      </c>
      <c r="S72" s="24">
        <f>1401639.34</f>
        <v>1401639.34</v>
      </c>
      <c r="T72" s="15"/>
      <c r="U72" s="7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</row>
    <row r="73" spans="1:148" ht="15">
      <c r="A73" s="14" t="s">
        <v>32</v>
      </c>
      <c r="B73" s="15"/>
      <c r="C73" s="15"/>
      <c r="D73" s="24">
        <f>0</f>
        <v>0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24">
        <f>0</f>
        <v>0</v>
      </c>
      <c r="P73" s="24">
        <f>0</f>
        <v>0</v>
      </c>
      <c r="Q73" s="15" t="s">
        <v>40</v>
      </c>
      <c r="R73" s="15" t="s">
        <v>54</v>
      </c>
      <c r="S73" s="24">
        <f>1451816.76</f>
        <v>1451816.76</v>
      </c>
      <c r="T73" s="15"/>
      <c r="U73" s="7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</row>
    <row r="74" spans="1:148" ht="15">
      <c r="A74" s="14" t="s">
        <v>32</v>
      </c>
      <c r="B74" s="15"/>
      <c r="C74" s="15"/>
      <c r="D74" s="24">
        <f>0</f>
        <v>0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24">
        <f>0</f>
        <v>0</v>
      </c>
      <c r="P74" s="24">
        <f>0</f>
        <v>0</v>
      </c>
      <c r="Q74" s="15" t="s">
        <v>40</v>
      </c>
      <c r="R74" s="15" t="s">
        <v>55</v>
      </c>
      <c r="S74" s="24">
        <f>1452328.77</f>
        <v>1452328.77</v>
      </c>
      <c r="T74" s="15"/>
      <c r="U74" s="7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</row>
    <row r="75" spans="1:148" ht="15">
      <c r="A75" s="14" t="s">
        <v>32</v>
      </c>
      <c r="B75" s="15"/>
      <c r="C75" s="15"/>
      <c r="D75" s="24">
        <f>0</f>
        <v>0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24">
        <f>0</f>
        <v>0</v>
      </c>
      <c r="P75" s="24">
        <f>0</f>
        <v>0</v>
      </c>
      <c r="Q75" s="15" t="s">
        <v>40</v>
      </c>
      <c r="R75" s="15" t="s">
        <v>56</v>
      </c>
      <c r="S75" s="24">
        <f>1311780.82</f>
        <v>1311780.82</v>
      </c>
      <c r="T75" s="15"/>
      <c r="U75" s="7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</row>
    <row r="76" spans="1:148" ht="15">
      <c r="A76" s="14" t="s">
        <v>32</v>
      </c>
      <c r="B76" s="15"/>
      <c r="C76" s="15"/>
      <c r="D76" s="24">
        <f>0</f>
        <v>0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24">
        <f>0</f>
        <v>0</v>
      </c>
      <c r="P76" s="24">
        <f>0</f>
        <v>0</v>
      </c>
      <c r="Q76" s="15" t="s">
        <v>40</v>
      </c>
      <c r="R76" s="15" t="s">
        <v>57</v>
      </c>
      <c r="S76" s="24">
        <f>1452328.77</f>
        <v>1452328.77</v>
      </c>
      <c r="T76" s="15"/>
      <c r="U76" s="7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</row>
    <row r="77" spans="1:148" ht="15">
      <c r="A77" s="14" t="s">
        <v>32</v>
      </c>
      <c r="B77" s="15"/>
      <c r="C77" s="15"/>
      <c r="D77" s="24">
        <f>0</f>
        <v>0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24">
        <f>0</f>
        <v>0</v>
      </c>
      <c r="P77" s="24">
        <f>0</f>
        <v>0</v>
      </c>
      <c r="Q77" s="15" t="s">
        <v>40</v>
      </c>
      <c r="R77" s="15" t="s">
        <v>58</v>
      </c>
      <c r="S77" s="24">
        <f>1405479.45</f>
        <v>1405479.45</v>
      </c>
      <c r="T77" s="15"/>
      <c r="U77" s="7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</row>
    <row r="78" spans="1:148" ht="15">
      <c r="A78" s="14" t="s">
        <v>32</v>
      </c>
      <c r="B78" s="15"/>
      <c r="C78" s="15"/>
      <c r="D78" s="24">
        <f>0</f>
        <v>0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24">
        <f>0</f>
        <v>0</v>
      </c>
      <c r="P78" s="24">
        <f>0</f>
        <v>0</v>
      </c>
      <c r="Q78" s="15" t="s">
        <v>40</v>
      </c>
      <c r="R78" s="15" t="s">
        <v>72</v>
      </c>
      <c r="S78" s="24">
        <f>1452328.77</f>
        <v>1452328.77</v>
      </c>
      <c r="T78" s="15"/>
      <c r="U78" s="7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</row>
    <row r="79" spans="1:148" ht="15">
      <c r="A79" s="14" t="s">
        <v>32</v>
      </c>
      <c r="B79" s="15"/>
      <c r="C79" s="15"/>
      <c r="D79" s="24">
        <f>0</f>
        <v>0</v>
      </c>
      <c r="E79" s="15"/>
      <c r="F79" s="15"/>
      <c r="G79" s="15"/>
      <c r="H79" s="15"/>
      <c r="I79" s="15"/>
      <c r="J79" s="15"/>
      <c r="K79" s="15"/>
      <c r="L79" s="15"/>
      <c r="M79" s="15"/>
      <c r="N79" s="15" t="s">
        <v>73</v>
      </c>
      <c r="O79" s="24">
        <f>190000000</f>
        <v>190000000</v>
      </c>
      <c r="P79" s="24">
        <f>0</f>
        <v>0</v>
      </c>
      <c r="Q79" s="15" t="s">
        <v>40</v>
      </c>
      <c r="R79" s="15" t="s">
        <v>73</v>
      </c>
      <c r="S79" s="24">
        <f>234246.58</f>
        <v>234246.58</v>
      </c>
      <c r="T79" s="15"/>
      <c r="U79" s="7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</row>
    <row r="80" spans="1:148" ht="89.25">
      <c r="A80" s="11" t="s">
        <v>31</v>
      </c>
      <c r="B80" s="12" t="s">
        <v>74</v>
      </c>
      <c r="C80" s="13" t="s">
        <v>33</v>
      </c>
      <c r="D80" s="23">
        <f>310000000</f>
        <v>310000000</v>
      </c>
      <c r="E80" s="13" t="s">
        <v>75</v>
      </c>
      <c r="F80" s="13" t="s">
        <v>76</v>
      </c>
      <c r="G80" s="13" t="s">
        <v>36</v>
      </c>
      <c r="H80" s="13"/>
      <c r="I80" s="13" t="s">
        <v>69</v>
      </c>
      <c r="J80" s="13" t="s">
        <v>70</v>
      </c>
      <c r="K80" s="12" t="s">
        <v>71</v>
      </c>
      <c r="L80" s="13"/>
      <c r="M80" s="13"/>
      <c r="N80" s="13"/>
      <c r="O80" s="23">
        <f>0</f>
        <v>0</v>
      </c>
      <c r="P80" s="23">
        <f>0</f>
        <v>0</v>
      </c>
      <c r="Q80" s="13" t="s">
        <v>40</v>
      </c>
      <c r="R80" s="13" t="s">
        <v>49</v>
      </c>
      <c r="S80" s="23">
        <f>990983.61</f>
        <v>990983.61</v>
      </c>
      <c r="T80" s="13"/>
      <c r="U80" s="7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</row>
    <row r="81" spans="1:148" ht="15">
      <c r="A81" s="14" t="s">
        <v>32</v>
      </c>
      <c r="B81" s="15"/>
      <c r="C81" s="15"/>
      <c r="D81" s="24">
        <f>0</f>
        <v>0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24">
        <f>0</f>
        <v>0</v>
      </c>
      <c r="P81" s="24">
        <f>0</f>
        <v>0</v>
      </c>
      <c r="Q81" s="15" t="s">
        <v>40</v>
      </c>
      <c r="R81" s="15" t="s">
        <v>50</v>
      </c>
      <c r="S81" s="24">
        <f>2363114.75</f>
        <v>2363114.75</v>
      </c>
      <c r="T81" s="15"/>
      <c r="U81" s="7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</row>
    <row r="82" spans="1:148" ht="15">
      <c r="A82" s="14" t="s">
        <v>32</v>
      </c>
      <c r="B82" s="15"/>
      <c r="C82" s="15"/>
      <c r="D82" s="24">
        <f>0</f>
        <v>0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24">
        <f>0</f>
        <v>0</v>
      </c>
      <c r="P82" s="24">
        <f>0</f>
        <v>0</v>
      </c>
      <c r="Q82" s="15" t="s">
        <v>40</v>
      </c>
      <c r="R82" s="15" t="s">
        <v>51</v>
      </c>
      <c r="S82" s="24">
        <f>2286885.25</f>
        <v>2286885.25</v>
      </c>
      <c r="T82" s="15"/>
      <c r="U82" s="7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</row>
    <row r="83" spans="1:148" ht="15">
      <c r="A83" s="14" t="s">
        <v>32</v>
      </c>
      <c r="B83" s="15"/>
      <c r="C83" s="15"/>
      <c r="D83" s="24">
        <f>0</f>
        <v>0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24">
        <f>0</f>
        <v>0</v>
      </c>
      <c r="P83" s="24">
        <f>0</f>
        <v>0</v>
      </c>
      <c r="Q83" s="15" t="s">
        <v>40</v>
      </c>
      <c r="R83" s="15" t="s">
        <v>52</v>
      </c>
      <c r="S83" s="24">
        <f>2368114.75</f>
        <v>2368114.75</v>
      </c>
      <c r="T83" s="15"/>
      <c r="U83" s="7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</row>
    <row r="84" spans="1:148" ht="15">
      <c r="A84" s="14" t="s">
        <v>32</v>
      </c>
      <c r="B84" s="15"/>
      <c r="C84" s="15"/>
      <c r="D84" s="24">
        <f>0</f>
        <v>0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24">
        <f>0</f>
        <v>0</v>
      </c>
      <c r="P84" s="24">
        <f>0</f>
        <v>0</v>
      </c>
      <c r="Q84" s="15" t="s">
        <v>40</v>
      </c>
      <c r="R84" s="15" t="s">
        <v>53</v>
      </c>
      <c r="S84" s="24">
        <f>2286885.25</f>
        <v>2286885.25</v>
      </c>
      <c r="T84" s="15"/>
      <c r="U84" s="7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</row>
    <row r="85" spans="1:148" ht="15">
      <c r="A85" s="14" t="s">
        <v>32</v>
      </c>
      <c r="B85" s="15"/>
      <c r="C85" s="15"/>
      <c r="D85" s="24">
        <f>0</f>
        <v>0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24">
        <f>0</f>
        <v>0</v>
      </c>
      <c r="P85" s="24">
        <f>0</f>
        <v>0</v>
      </c>
      <c r="Q85" s="15" t="s">
        <v>40</v>
      </c>
      <c r="R85" s="15" t="s">
        <v>54</v>
      </c>
      <c r="S85" s="24">
        <f>2368753.65</f>
        <v>2368753.65</v>
      </c>
      <c r="T85" s="15"/>
      <c r="U85" s="7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</row>
    <row r="86" spans="1:148" ht="15">
      <c r="A86" s="14" t="s">
        <v>32</v>
      </c>
      <c r="B86" s="15"/>
      <c r="C86" s="15"/>
      <c r="D86" s="24">
        <f>0</f>
        <v>0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24">
        <f>0</f>
        <v>0</v>
      </c>
      <c r="P86" s="24">
        <f>0</f>
        <v>0</v>
      </c>
      <c r="Q86" s="15" t="s">
        <v>40</v>
      </c>
      <c r="R86" s="15" t="s">
        <v>55</v>
      </c>
      <c r="S86" s="24">
        <f>2369589.04</f>
        <v>2369589.04</v>
      </c>
      <c r="T86" s="15"/>
      <c r="U86" s="7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</row>
    <row r="87" spans="1:148" ht="15">
      <c r="A87" s="14" t="s">
        <v>32</v>
      </c>
      <c r="B87" s="15"/>
      <c r="C87" s="15"/>
      <c r="D87" s="24">
        <f>0</f>
        <v>0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4">
        <f>0</f>
        <v>0</v>
      </c>
      <c r="P87" s="24">
        <f>0</f>
        <v>0</v>
      </c>
      <c r="Q87" s="15" t="s">
        <v>40</v>
      </c>
      <c r="R87" s="15" t="s">
        <v>56</v>
      </c>
      <c r="S87" s="24">
        <f>2140273.97</f>
        <v>2140273.97</v>
      </c>
      <c r="T87" s="15"/>
      <c r="U87" s="7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</row>
    <row r="88" spans="1:148" ht="15">
      <c r="A88" s="14" t="s">
        <v>32</v>
      </c>
      <c r="B88" s="15"/>
      <c r="C88" s="15"/>
      <c r="D88" s="24">
        <f>0</f>
        <v>0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24">
        <f>0</f>
        <v>0</v>
      </c>
      <c r="P88" s="24">
        <f>0</f>
        <v>0</v>
      </c>
      <c r="Q88" s="15" t="s">
        <v>40</v>
      </c>
      <c r="R88" s="15" t="s">
        <v>57</v>
      </c>
      <c r="S88" s="24">
        <f>2369589.04</f>
        <v>2369589.04</v>
      </c>
      <c r="T88" s="15"/>
      <c r="U88" s="7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</row>
    <row r="89" spans="1:148" ht="15">
      <c r="A89" s="14" t="s">
        <v>32</v>
      </c>
      <c r="B89" s="15"/>
      <c r="C89" s="15"/>
      <c r="D89" s="24">
        <f>0</f>
        <v>0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24">
        <f>0</f>
        <v>0</v>
      </c>
      <c r="P89" s="24">
        <f>0</f>
        <v>0</v>
      </c>
      <c r="Q89" s="15" t="s">
        <v>40</v>
      </c>
      <c r="R89" s="15" t="s">
        <v>58</v>
      </c>
      <c r="S89" s="24">
        <f>2293150.68</f>
        <v>2293150.68</v>
      </c>
      <c r="T89" s="15"/>
      <c r="U89" s="7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</row>
    <row r="90" spans="1:148" ht="15">
      <c r="A90" s="14" t="s">
        <v>32</v>
      </c>
      <c r="B90" s="15"/>
      <c r="C90" s="15"/>
      <c r="D90" s="24">
        <f>0</f>
        <v>0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24">
        <f>0</f>
        <v>0</v>
      </c>
      <c r="P90" s="24">
        <f>0</f>
        <v>0</v>
      </c>
      <c r="Q90" s="15" t="s">
        <v>40</v>
      </c>
      <c r="R90" s="15" t="s">
        <v>72</v>
      </c>
      <c r="S90" s="24">
        <f>2369589.04</f>
        <v>2369589.04</v>
      </c>
      <c r="T90" s="15"/>
      <c r="U90" s="7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</row>
    <row r="91" spans="1:148" ht="15">
      <c r="A91" s="14" t="s">
        <v>32</v>
      </c>
      <c r="B91" s="15"/>
      <c r="C91" s="15"/>
      <c r="D91" s="24">
        <f>0</f>
        <v>0</v>
      </c>
      <c r="E91" s="15"/>
      <c r="F91" s="15"/>
      <c r="G91" s="15"/>
      <c r="H91" s="15"/>
      <c r="I91" s="15"/>
      <c r="J91" s="15"/>
      <c r="K91" s="15"/>
      <c r="L91" s="15"/>
      <c r="M91" s="15"/>
      <c r="N91" s="15" t="s">
        <v>73</v>
      </c>
      <c r="O91" s="24">
        <f>310000000</f>
        <v>310000000</v>
      </c>
      <c r="P91" s="24">
        <f>0</f>
        <v>0</v>
      </c>
      <c r="Q91" s="15" t="s">
        <v>40</v>
      </c>
      <c r="R91" s="15" t="s">
        <v>73</v>
      </c>
      <c r="S91" s="24">
        <f>382191.78</f>
        <v>382191.78</v>
      </c>
      <c r="T91" s="15"/>
      <c r="U91" s="7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</row>
    <row r="92" spans="1:148" ht="89.25">
      <c r="A92" s="11" t="s">
        <v>31</v>
      </c>
      <c r="B92" s="12" t="s">
        <v>77</v>
      </c>
      <c r="C92" s="13" t="s">
        <v>33</v>
      </c>
      <c r="D92" s="23">
        <f>50000000</f>
        <v>50000000</v>
      </c>
      <c r="E92" s="13" t="s">
        <v>75</v>
      </c>
      <c r="F92" s="13" t="s">
        <v>78</v>
      </c>
      <c r="G92" s="13" t="s">
        <v>36</v>
      </c>
      <c r="H92" s="13"/>
      <c r="I92" s="13" t="s">
        <v>79</v>
      </c>
      <c r="J92" s="13" t="s">
        <v>80</v>
      </c>
      <c r="K92" s="12" t="s">
        <v>71</v>
      </c>
      <c r="L92" s="13"/>
      <c r="M92" s="13"/>
      <c r="N92" s="13"/>
      <c r="O92" s="23">
        <f>0</f>
        <v>0</v>
      </c>
      <c r="P92" s="23">
        <f>0</f>
        <v>0</v>
      </c>
      <c r="Q92" s="13" t="s">
        <v>40</v>
      </c>
      <c r="R92" s="13" t="s">
        <v>50</v>
      </c>
      <c r="S92" s="23">
        <f>196721.31</f>
        <v>196721.31</v>
      </c>
      <c r="T92" s="13"/>
      <c r="U92" s="7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</row>
    <row r="93" spans="1:148" ht="15">
      <c r="A93" s="14" t="s">
        <v>32</v>
      </c>
      <c r="B93" s="15"/>
      <c r="C93" s="15"/>
      <c r="D93" s="24">
        <f>0</f>
        <v>0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24">
        <f>0</f>
        <v>0</v>
      </c>
      <c r="P93" s="24">
        <f>0</f>
        <v>0</v>
      </c>
      <c r="Q93" s="15" t="s">
        <v>40</v>
      </c>
      <c r="R93" s="15" t="s">
        <v>51</v>
      </c>
      <c r="S93" s="24">
        <f>368852.46</f>
        <v>368852.46</v>
      </c>
      <c r="T93" s="15"/>
      <c r="U93" s="7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</row>
    <row r="94" spans="1:148" ht="15">
      <c r="A94" s="14" t="s">
        <v>32</v>
      </c>
      <c r="B94" s="15"/>
      <c r="C94" s="15"/>
      <c r="D94" s="24">
        <f>0</f>
        <v>0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24">
        <f>0</f>
        <v>0</v>
      </c>
      <c r="P94" s="24">
        <f>0</f>
        <v>0</v>
      </c>
      <c r="Q94" s="15" t="s">
        <v>40</v>
      </c>
      <c r="R94" s="15" t="s">
        <v>52</v>
      </c>
      <c r="S94" s="24">
        <f>381147.54</f>
        <v>381147.54</v>
      </c>
      <c r="T94" s="15"/>
      <c r="U94" s="7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</row>
    <row r="95" spans="1:148" ht="15">
      <c r="A95" s="14" t="s">
        <v>32</v>
      </c>
      <c r="B95" s="15"/>
      <c r="C95" s="15"/>
      <c r="D95" s="24">
        <f>0</f>
        <v>0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24">
        <f>0</f>
        <v>0</v>
      </c>
      <c r="P95" s="24">
        <f>0</f>
        <v>0</v>
      </c>
      <c r="Q95" s="15" t="s">
        <v>40</v>
      </c>
      <c r="R95" s="15" t="s">
        <v>53</v>
      </c>
      <c r="S95" s="24">
        <f>368852.46</f>
        <v>368852.46</v>
      </c>
      <c r="T95" s="15"/>
      <c r="U95" s="7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</row>
    <row r="96" spans="1:148" ht="15">
      <c r="A96" s="14" t="s">
        <v>32</v>
      </c>
      <c r="B96" s="15"/>
      <c r="C96" s="15"/>
      <c r="D96" s="24">
        <f>0</f>
        <v>0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24">
        <f>0</f>
        <v>0</v>
      </c>
      <c r="P96" s="24">
        <f>0</f>
        <v>0</v>
      </c>
      <c r="Q96" s="15" t="s">
        <v>40</v>
      </c>
      <c r="R96" s="15" t="s">
        <v>54</v>
      </c>
      <c r="S96" s="24">
        <f>382057.04</f>
        <v>382057.04</v>
      </c>
      <c r="T96" s="15"/>
      <c r="U96" s="7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</row>
    <row r="97" spans="1:148" ht="15">
      <c r="A97" s="14" t="s">
        <v>32</v>
      </c>
      <c r="B97" s="15"/>
      <c r="C97" s="15"/>
      <c r="D97" s="24">
        <f>0</f>
        <v>0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24">
        <f>0</f>
        <v>0</v>
      </c>
      <c r="P97" s="24">
        <f>0</f>
        <v>0</v>
      </c>
      <c r="Q97" s="15" t="s">
        <v>40</v>
      </c>
      <c r="R97" s="15" t="s">
        <v>55</v>
      </c>
      <c r="S97" s="24">
        <f>382191.78</f>
        <v>382191.78</v>
      </c>
      <c r="T97" s="15"/>
      <c r="U97" s="7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</row>
    <row r="98" spans="1:148" ht="15">
      <c r="A98" s="14" t="s">
        <v>32</v>
      </c>
      <c r="B98" s="15"/>
      <c r="C98" s="15"/>
      <c r="D98" s="24">
        <f>0</f>
        <v>0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24">
        <f>0</f>
        <v>0</v>
      </c>
      <c r="P98" s="24">
        <f>0</f>
        <v>0</v>
      </c>
      <c r="Q98" s="15" t="s">
        <v>40</v>
      </c>
      <c r="R98" s="15" t="s">
        <v>56</v>
      </c>
      <c r="S98" s="24">
        <f>345205.48</f>
        <v>345205.48</v>
      </c>
      <c r="T98" s="15"/>
      <c r="U98" s="7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</row>
    <row r="99" spans="1:148" ht="15">
      <c r="A99" s="14" t="s">
        <v>32</v>
      </c>
      <c r="B99" s="15"/>
      <c r="C99" s="15"/>
      <c r="D99" s="24">
        <f>0</f>
        <v>0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24">
        <f>0</f>
        <v>0</v>
      </c>
      <c r="P99" s="24">
        <f>0</f>
        <v>0</v>
      </c>
      <c r="Q99" s="15" t="s">
        <v>40</v>
      </c>
      <c r="R99" s="15" t="s">
        <v>57</v>
      </c>
      <c r="S99" s="24">
        <f>382191.78</f>
        <v>382191.78</v>
      </c>
      <c r="T99" s="15"/>
      <c r="U99" s="7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</row>
    <row r="100" spans="1:148" ht="15">
      <c r="A100" s="14" t="s">
        <v>32</v>
      </c>
      <c r="B100" s="15"/>
      <c r="C100" s="15"/>
      <c r="D100" s="24">
        <f>0</f>
        <v>0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24">
        <f>0</f>
        <v>0</v>
      </c>
      <c r="P100" s="24">
        <f>0</f>
        <v>0</v>
      </c>
      <c r="Q100" s="15" t="s">
        <v>40</v>
      </c>
      <c r="R100" s="15" t="s">
        <v>58</v>
      </c>
      <c r="S100" s="24">
        <f>369863.01</f>
        <v>369863.01</v>
      </c>
      <c r="T100" s="15"/>
      <c r="U100" s="7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</row>
    <row r="101" spans="1:148" ht="15">
      <c r="A101" s="14" t="s">
        <v>32</v>
      </c>
      <c r="B101" s="15"/>
      <c r="C101" s="15"/>
      <c r="D101" s="24">
        <f>0</f>
        <v>0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24">
        <f>0</f>
        <v>0</v>
      </c>
      <c r="P101" s="24">
        <f>0</f>
        <v>0</v>
      </c>
      <c r="Q101" s="15" t="s">
        <v>40</v>
      </c>
      <c r="R101" s="15" t="s">
        <v>72</v>
      </c>
      <c r="S101" s="24">
        <f>382191.78</f>
        <v>382191.78</v>
      </c>
      <c r="T101" s="15"/>
      <c r="U101" s="7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</row>
    <row r="102" spans="1:148" ht="15">
      <c r="A102" s="14" t="s">
        <v>32</v>
      </c>
      <c r="B102" s="15"/>
      <c r="C102" s="15"/>
      <c r="D102" s="24">
        <f>0</f>
        <v>0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 t="s">
        <v>73</v>
      </c>
      <c r="O102" s="24">
        <f>50000000</f>
        <v>50000000</v>
      </c>
      <c r="P102" s="24">
        <f>0</f>
        <v>0</v>
      </c>
      <c r="Q102" s="15" t="s">
        <v>40</v>
      </c>
      <c r="R102" s="15" t="s">
        <v>73</v>
      </c>
      <c r="S102" s="24">
        <f>61643.84</f>
        <v>61643.84</v>
      </c>
      <c r="T102" s="15"/>
      <c r="U102" s="7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</row>
    <row r="103" spans="1:148" ht="89.25">
      <c r="A103" s="11" t="s">
        <v>31</v>
      </c>
      <c r="B103" s="12" t="s">
        <v>81</v>
      </c>
      <c r="C103" s="13" t="s">
        <v>33</v>
      </c>
      <c r="D103" s="23">
        <f>300000000</f>
        <v>300000000</v>
      </c>
      <c r="E103" s="13" t="s">
        <v>75</v>
      </c>
      <c r="F103" s="13" t="s">
        <v>82</v>
      </c>
      <c r="G103" s="13" t="s">
        <v>36</v>
      </c>
      <c r="H103" s="13"/>
      <c r="I103" s="13" t="s">
        <v>79</v>
      </c>
      <c r="J103" s="13" t="s">
        <v>80</v>
      </c>
      <c r="K103" s="12" t="s">
        <v>83</v>
      </c>
      <c r="L103" s="13"/>
      <c r="M103" s="13"/>
      <c r="N103" s="13"/>
      <c r="O103" s="23">
        <f>0</f>
        <v>0</v>
      </c>
      <c r="P103" s="23">
        <f>300000000</f>
        <v>300000000</v>
      </c>
      <c r="Q103" s="13" t="s">
        <v>40</v>
      </c>
      <c r="R103" s="13" t="s">
        <v>50</v>
      </c>
      <c r="S103" s="23">
        <f>1120000</f>
        <v>1120000</v>
      </c>
      <c r="T103" s="13"/>
      <c r="U103" s="7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</row>
    <row r="104" spans="1:148" ht="15">
      <c r="A104" s="14" t="s">
        <v>32</v>
      </c>
      <c r="B104" s="15"/>
      <c r="C104" s="15"/>
      <c r="D104" s="24">
        <f>0</f>
        <v>0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24">
        <f>0</f>
        <v>0</v>
      </c>
      <c r="P104" s="24">
        <f>0</f>
        <v>0</v>
      </c>
      <c r="Q104" s="15" t="s">
        <v>40</v>
      </c>
      <c r="R104" s="15" t="s">
        <v>51</v>
      </c>
      <c r="S104" s="24">
        <f>2100000</f>
        <v>2100000</v>
      </c>
      <c r="T104" s="15"/>
      <c r="U104" s="7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</row>
    <row r="105" spans="1:148" ht="15">
      <c r="A105" s="14" t="s">
        <v>32</v>
      </c>
      <c r="B105" s="15"/>
      <c r="C105" s="15"/>
      <c r="D105" s="24">
        <f>0</f>
        <v>0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24">
        <f>0</f>
        <v>0</v>
      </c>
      <c r="P105" s="24">
        <f>0</f>
        <v>0</v>
      </c>
      <c r="Q105" s="15" t="s">
        <v>40</v>
      </c>
      <c r="R105" s="15" t="s">
        <v>52</v>
      </c>
      <c r="S105" s="24">
        <f>2170000</f>
        <v>2170000</v>
      </c>
      <c r="T105" s="15"/>
      <c r="U105" s="7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</row>
    <row r="106" spans="1:148" ht="15">
      <c r="A106" s="14" t="s">
        <v>32</v>
      </c>
      <c r="B106" s="15"/>
      <c r="C106" s="15"/>
      <c r="D106" s="24">
        <f>0</f>
        <v>0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24">
        <f>0</f>
        <v>0</v>
      </c>
      <c r="P106" s="24">
        <f>0</f>
        <v>0</v>
      </c>
      <c r="Q106" s="15" t="s">
        <v>40</v>
      </c>
      <c r="R106" s="15" t="s">
        <v>53</v>
      </c>
      <c r="S106" s="24">
        <f>2100000</f>
        <v>2100000</v>
      </c>
      <c r="T106" s="15"/>
      <c r="U106" s="7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</row>
    <row r="107" spans="1:148" ht="15">
      <c r="A107" s="14" t="s">
        <v>32</v>
      </c>
      <c r="B107" s="15"/>
      <c r="C107" s="15"/>
      <c r="D107" s="24">
        <f>0</f>
        <v>0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24">
        <f>0</f>
        <v>0</v>
      </c>
      <c r="P107" s="24">
        <f>0</f>
        <v>0</v>
      </c>
      <c r="Q107" s="15" t="s">
        <v>40</v>
      </c>
      <c r="R107" s="15" t="s">
        <v>54</v>
      </c>
      <c r="S107" s="24">
        <f>2175178.08</f>
        <v>2175178.08</v>
      </c>
      <c r="T107" s="15"/>
      <c r="U107" s="7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</row>
    <row r="108" spans="1:148" ht="15">
      <c r="A108" s="14" t="s">
        <v>32</v>
      </c>
      <c r="B108" s="15"/>
      <c r="C108" s="15"/>
      <c r="D108" s="24">
        <f>0</f>
        <v>0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24">
        <f>0</f>
        <v>0</v>
      </c>
      <c r="P108" s="24">
        <f>0</f>
        <v>0</v>
      </c>
      <c r="Q108" s="15" t="s">
        <v>40</v>
      </c>
      <c r="R108" s="15" t="s">
        <v>55</v>
      </c>
      <c r="S108" s="24">
        <f>2175945.21</f>
        <v>2175945.21</v>
      </c>
      <c r="T108" s="15"/>
      <c r="U108" s="7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</row>
    <row r="109" spans="1:148" ht="15">
      <c r="A109" s="14" t="s">
        <v>32</v>
      </c>
      <c r="B109" s="15"/>
      <c r="C109" s="15"/>
      <c r="D109" s="24">
        <f>0</f>
        <v>0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24">
        <f>0</f>
        <v>0</v>
      </c>
      <c r="P109" s="24">
        <f>0</f>
        <v>0</v>
      </c>
      <c r="Q109" s="15" t="s">
        <v>40</v>
      </c>
      <c r="R109" s="15" t="s">
        <v>56</v>
      </c>
      <c r="S109" s="24">
        <f>1965369.86</f>
        <v>1965369.86</v>
      </c>
      <c r="T109" s="15"/>
      <c r="U109" s="7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</row>
    <row r="110" spans="1:148" ht="15">
      <c r="A110" s="14" t="s">
        <v>32</v>
      </c>
      <c r="B110" s="15"/>
      <c r="C110" s="15"/>
      <c r="D110" s="24">
        <f>0</f>
        <v>0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4">
        <f>0</f>
        <v>0</v>
      </c>
      <c r="P110" s="24">
        <f>0</f>
        <v>0</v>
      </c>
      <c r="Q110" s="15" t="s">
        <v>40</v>
      </c>
      <c r="R110" s="15" t="s">
        <v>57</v>
      </c>
      <c r="S110" s="24">
        <f>2175945.21</f>
        <v>2175945.21</v>
      </c>
      <c r="T110" s="15"/>
      <c r="U110" s="7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</row>
    <row r="111" spans="1:148" ht="15">
      <c r="A111" s="14" t="s">
        <v>32</v>
      </c>
      <c r="B111" s="15"/>
      <c r="C111" s="15"/>
      <c r="D111" s="24">
        <f>0</f>
        <v>0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24">
        <f>0</f>
        <v>0</v>
      </c>
      <c r="P111" s="24">
        <f>0</f>
        <v>0</v>
      </c>
      <c r="Q111" s="15" t="s">
        <v>40</v>
      </c>
      <c r="R111" s="15" t="s">
        <v>58</v>
      </c>
      <c r="S111" s="24">
        <f>2105753.42</f>
        <v>2105753.42</v>
      </c>
      <c r="T111" s="15"/>
      <c r="U111" s="7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</row>
    <row r="112" spans="1:148" ht="15">
      <c r="A112" s="14" t="s">
        <v>32</v>
      </c>
      <c r="B112" s="15"/>
      <c r="C112" s="15"/>
      <c r="D112" s="24">
        <f>0</f>
        <v>0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24">
        <f>0</f>
        <v>0</v>
      </c>
      <c r="P112" s="24">
        <f>0</f>
        <v>0</v>
      </c>
      <c r="Q112" s="15" t="s">
        <v>40</v>
      </c>
      <c r="R112" s="15" t="s">
        <v>72</v>
      </c>
      <c r="S112" s="24">
        <f>2175945.21</f>
        <v>2175945.21</v>
      </c>
      <c r="T112" s="15"/>
      <c r="U112" s="7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</row>
    <row r="113" spans="1:148" ht="15">
      <c r="A113" s="14" t="s">
        <v>32</v>
      </c>
      <c r="B113" s="15"/>
      <c r="C113" s="15"/>
      <c r="D113" s="24">
        <f>0</f>
        <v>0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24">
        <f>0</f>
        <v>0</v>
      </c>
      <c r="P113" s="24">
        <f>0</f>
        <v>0</v>
      </c>
      <c r="Q113" s="15" t="s">
        <v>40</v>
      </c>
      <c r="R113" s="15" t="s">
        <v>84</v>
      </c>
      <c r="S113" s="24">
        <f>2105753.42</f>
        <v>2105753.42</v>
      </c>
      <c r="T113" s="15"/>
      <c r="U113" s="7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</row>
    <row r="114" spans="1:148" ht="15">
      <c r="A114" s="14" t="s">
        <v>32</v>
      </c>
      <c r="B114" s="15"/>
      <c r="C114" s="15"/>
      <c r="D114" s="24">
        <f>0</f>
        <v>0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24">
        <f>0</f>
        <v>0</v>
      </c>
      <c r="P114" s="24">
        <f>0</f>
        <v>0</v>
      </c>
      <c r="Q114" s="15" t="s">
        <v>40</v>
      </c>
      <c r="R114" s="15" t="s">
        <v>85</v>
      </c>
      <c r="S114" s="24">
        <f>2175945.21</f>
        <v>2175945.21</v>
      </c>
      <c r="T114" s="15"/>
      <c r="U114" s="7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</row>
    <row r="115" spans="1:148" ht="15">
      <c r="A115" s="14" t="s">
        <v>32</v>
      </c>
      <c r="B115" s="15"/>
      <c r="C115" s="15"/>
      <c r="D115" s="24">
        <f>0</f>
        <v>0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24">
        <f>0</f>
        <v>0</v>
      </c>
      <c r="P115" s="24">
        <f>0</f>
        <v>0</v>
      </c>
      <c r="Q115" s="15" t="s">
        <v>40</v>
      </c>
      <c r="R115" s="15" t="s">
        <v>86</v>
      </c>
      <c r="S115" s="24">
        <f>2175945.21</f>
        <v>2175945.21</v>
      </c>
      <c r="T115" s="15"/>
      <c r="U115" s="7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</row>
    <row r="116" spans="1:148" ht="89.25">
      <c r="A116" s="11" t="s">
        <v>31</v>
      </c>
      <c r="B116" s="12" t="s">
        <v>87</v>
      </c>
      <c r="C116" s="13" t="s">
        <v>33</v>
      </c>
      <c r="D116" s="23">
        <f>150000000</f>
        <v>150000000</v>
      </c>
      <c r="E116" s="13" t="s">
        <v>75</v>
      </c>
      <c r="F116" s="13" t="s">
        <v>88</v>
      </c>
      <c r="G116" s="13" t="s">
        <v>36</v>
      </c>
      <c r="H116" s="13"/>
      <c r="I116" s="13" t="s">
        <v>79</v>
      </c>
      <c r="J116" s="13" t="s">
        <v>80</v>
      </c>
      <c r="K116" s="12" t="s">
        <v>83</v>
      </c>
      <c r="L116" s="13"/>
      <c r="M116" s="13"/>
      <c r="N116" s="13"/>
      <c r="O116" s="23">
        <f>0</f>
        <v>0</v>
      </c>
      <c r="P116" s="23">
        <f>150000000</f>
        <v>150000000</v>
      </c>
      <c r="Q116" s="13" t="s">
        <v>40</v>
      </c>
      <c r="R116" s="13" t="s">
        <v>50</v>
      </c>
      <c r="S116" s="23">
        <f>560000</f>
        <v>560000</v>
      </c>
      <c r="T116" s="13"/>
      <c r="U116" s="7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</row>
    <row r="117" spans="1:148" ht="15">
      <c r="A117" s="14" t="s">
        <v>32</v>
      </c>
      <c r="B117" s="15"/>
      <c r="C117" s="15"/>
      <c r="D117" s="24">
        <f>0</f>
        <v>0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24">
        <f>0</f>
        <v>0</v>
      </c>
      <c r="P117" s="24">
        <f>0</f>
        <v>0</v>
      </c>
      <c r="Q117" s="15" t="s">
        <v>40</v>
      </c>
      <c r="R117" s="15" t="s">
        <v>51</v>
      </c>
      <c r="S117" s="24">
        <f>1050000</f>
        <v>1050000</v>
      </c>
      <c r="T117" s="15"/>
      <c r="U117" s="7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</row>
    <row r="118" spans="1:148" ht="15">
      <c r="A118" s="14" t="s">
        <v>32</v>
      </c>
      <c r="B118" s="15"/>
      <c r="C118" s="15"/>
      <c r="D118" s="24">
        <f>0</f>
        <v>0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24">
        <f>0</f>
        <v>0</v>
      </c>
      <c r="P118" s="24">
        <f>0</f>
        <v>0</v>
      </c>
      <c r="Q118" s="15" t="s">
        <v>40</v>
      </c>
      <c r="R118" s="15" t="s">
        <v>52</v>
      </c>
      <c r="S118" s="24">
        <f>1085000</f>
        <v>1085000</v>
      </c>
      <c r="T118" s="15"/>
      <c r="U118" s="7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</row>
    <row r="119" spans="1:148" ht="15">
      <c r="A119" s="14" t="s">
        <v>32</v>
      </c>
      <c r="B119" s="15"/>
      <c r="C119" s="15"/>
      <c r="D119" s="24">
        <f>0</f>
        <v>0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24">
        <f>0</f>
        <v>0</v>
      </c>
      <c r="P119" s="24">
        <f>0</f>
        <v>0</v>
      </c>
      <c r="Q119" s="15" t="s">
        <v>40</v>
      </c>
      <c r="R119" s="15" t="s">
        <v>53</v>
      </c>
      <c r="S119" s="24">
        <f>1050000</f>
        <v>1050000</v>
      </c>
      <c r="T119" s="15"/>
      <c r="U119" s="7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</row>
    <row r="120" spans="1:148" ht="15">
      <c r="A120" s="14" t="s">
        <v>32</v>
      </c>
      <c r="B120" s="15"/>
      <c r="C120" s="15"/>
      <c r="D120" s="24">
        <f>0</f>
        <v>0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24">
        <f>0</f>
        <v>0</v>
      </c>
      <c r="P120" s="24">
        <f>0</f>
        <v>0</v>
      </c>
      <c r="Q120" s="15" t="s">
        <v>40</v>
      </c>
      <c r="R120" s="15" t="s">
        <v>54</v>
      </c>
      <c r="S120" s="24">
        <f>1087589.04</f>
        <v>1087589.04</v>
      </c>
      <c r="T120" s="15"/>
      <c r="U120" s="7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</row>
    <row r="121" spans="1:148" ht="15">
      <c r="A121" s="14" t="s">
        <v>32</v>
      </c>
      <c r="B121" s="15"/>
      <c r="C121" s="15"/>
      <c r="D121" s="24">
        <f>0</f>
        <v>0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24">
        <f>0</f>
        <v>0</v>
      </c>
      <c r="P121" s="24">
        <f>0</f>
        <v>0</v>
      </c>
      <c r="Q121" s="15" t="s">
        <v>40</v>
      </c>
      <c r="R121" s="15" t="s">
        <v>55</v>
      </c>
      <c r="S121" s="24">
        <f>1087972.6</f>
        <v>1087972.6</v>
      </c>
      <c r="T121" s="15"/>
      <c r="U121" s="7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</row>
    <row r="122" spans="1:148" ht="15">
      <c r="A122" s="14" t="s">
        <v>32</v>
      </c>
      <c r="B122" s="15"/>
      <c r="C122" s="15"/>
      <c r="D122" s="24">
        <f>0</f>
        <v>0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24">
        <f>0</f>
        <v>0</v>
      </c>
      <c r="P122" s="24">
        <f>0</f>
        <v>0</v>
      </c>
      <c r="Q122" s="15" t="s">
        <v>40</v>
      </c>
      <c r="R122" s="15" t="s">
        <v>56</v>
      </c>
      <c r="S122" s="24">
        <f>982684.93</f>
        <v>982684.93</v>
      </c>
      <c r="T122" s="15"/>
      <c r="U122" s="7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</row>
    <row r="123" spans="1:148" ht="15">
      <c r="A123" s="14" t="s">
        <v>32</v>
      </c>
      <c r="B123" s="15"/>
      <c r="C123" s="15"/>
      <c r="D123" s="24">
        <f>0</f>
        <v>0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24">
        <f>0</f>
        <v>0</v>
      </c>
      <c r="P123" s="24">
        <f>0</f>
        <v>0</v>
      </c>
      <c r="Q123" s="15" t="s">
        <v>40</v>
      </c>
      <c r="R123" s="15" t="s">
        <v>57</v>
      </c>
      <c r="S123" s="24">
        <f>1087972.6</f>
        <v>1087972.6</v>
      </c>
      <c r="T123" s="15"/>
      <c r="U123" s="7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</row>
    <row r="124" spans="1:148" ht="15">
      <c r="A124" s="14" t="s">
        <v>32</v>
      </c>
      <c r="B124" s="15"/>
      <c r="C124" s="15"/>
      <c r="D124" s="24">
        <f>0</f>
        <v>0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24">
        <f>0</f>
        <v>0</v>
      </c>
      <c r="P124" s="24">
        <f>0</f>
        <v>0</v>
      </c>
      <c r="Q124" s="15" t="s">
        <v>40</v>
      </c>
      <c r="R124" s="15" t="s">
        <v>58</v>
      </c>
      <c r="S124" s="24">
        <f>1052876.71</f>
        <v>1052876.71</v>
      </c>
      <c r="T124" s="15"/>
      <c r="U124" s="7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</row>
    <row r="125" spans="1:148" ht="15">
      <c r="A125" s="14" t="s">
        <v>32</v>
      </c>
      <c r="B125" s="15"/>
      <c r="C125" s="15"/>
      <c r="D125" s="24">
        <f>0</f>
        <v>0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4">
        <f>0</f>
        <v>0</v>
      </c>
      <c r="P125" s="24">
        <f>0</f>
        <v>0</v>
      </c>
      <c r="Q125" s="15" t="s">
        <v>40</v>
      </c>
      <c r="R125" s="15" t="s">
        <v>72</v>
      </c>
      <c r="S125" s="24">
        <f>1087972.6</f>
        <v>1087972.6</v>
      </c>
      <c r="T125" s="15"/>
      <c r="U125" s="7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</row>
    <row r="126" spans="1:148" ht="15">
      <c r="A126" s="14" t="s">
        <v>32</v>
      </c>
      <c r="B126" s="15"/>
      <c r="C126" s="15"/>
      <c r="D126" s="24">
        <f>0</f>
        <v>0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24">
        <f>0</f>
        <v>0</v>
      </c>
      <c r="P126" s="24">
        <f>0</f>
        <v>0</v>
      </c>
      <c r="Q126" s="15" t="s">
        <v>40</v>
      </c>
      <c r="R126" s="15" t="s">
        <v>84</v>
      </c>
      <c r="S126" s="24">
        <f>1052876.71</f>
        <v>1052876.71</v>
      </c>
      <c r="T126" s="15"/>
      <c r="U126" s="7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</row>
    <row r="127" spans="1:148" ht="15">
      <c r="A127" s="14" t="s">
        <v>32</v>
      </c>
      <c r="B127" s="15"/>
      <c r="C127" s="15"/>
      <c r="D127" s="24">
        <f>0</f>
        <v>0</v>
      </c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24">
        <f>0</f>
        <v>0</v>
      </c>
      <c r="P127" s="24">
        <f>0</f>
        <v>0</v>
      </c>
      <c r="Q127" s="15" t="s">
        <v>40</v>
      </c>
      <c r="R127" s="15" t="s">
        <v>85</v>
      </c>
      <c r="S127" s="24">
        <f>1087972.6</f>
        <v>1087972.6</v>
      </c>
      <c r="T127" s="15"/>
      <c r="U127" s="7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</row>
    <row r="128" spans="1:148" ht="15">
      <c r="A128" s="14" t="s">
        <v>32</v>
      </c>
      <c r="B128" s="15"/>
      <c r="C128" s="15"/>
      <c r="D128" s="24">
        <f>0</f>
        <v>0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24">
        <f>0</f>
        <v>0</v>
      </c>
      <c r="P128" s="24">
        <f>0</f>
        <v>0</v>
      </c>
      <c r="Q128" s="15" t="s">
        <v>40</v>
      </c>
      <c r="R128" s="15" t="s">
        <v>86</v>
      </c>
      <c r="S128" s="24">
        <f>1087972.6</f>
        <v>1087972.6</v>
      </c>
      <c r="T128" s="15"/>
      <c r="U128" s="7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</row>
    <row r="129" spans="1:148" ht="89.25">
      <c r="A129" s="11" t="s">
        <v>31</v>
      </c>
      <c r="B129" s="12" t="s">
        <v>71</v>
      </c>
      <c r="C129" s="13" t="s">
        <v>33</v>
      </c>
      <c r="D129" s="23">
        <f>150000000</f>
        <v>150000000</v>
      </c>
      <c r="E129" s="13" t="s">
        <v>75</v>
      </c>
      <c r="F129" s="13" t="s">
        <v>89</v>
      </c>
      <c r="G129" s="13" t="s">
        <v>36</v>
      </c>
      <c r="H129" s="13"/>
      <c r="I129" s="13" t="s">
        <v>90</v>
      </c>
      <c r="J129" s="13" t="s">
        <v>91</v>
      </c>
      <c r="K129" s="12" t="s">
        <v>83</v>
      </c>
      <c r="L129" s="13"/>
      <c r="M129" s="13"/>
      <c r="N129" s="13"/>
      <c r="O129" s="23">
        <f>0</f>
        <v>0</v>
      </c>
      <c r="P129" s="23">
        <f>150000000</f>
        <v>150000000</v>
      </c>
      <c r="Q129" s="13" t="s">
        <v>40</v>
      </c>
      <c r="R129" s="13" t="s">
        <v>50</v>
      </c>
      <c r="S129" s="23">
        <f>280000</f>
        <v>280000</v>
      </c>
      <c r="T129" s="13"/>
      <c r="U129" s="7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</row>
    <row r="130" spans="1:148" ht="15">
      <c r="A130" s="14" t="s">
        <v>32</v>
      </c>
      <c r="B130" s="15"/>
      <c r="C130" s="15"/>
      <c r="D130" s="24">
        <f>0</f>
        <v>0</v>
      </c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24">
        <f>0</f>
        <v>0</v>
      </c>
      <c r="P130" s="24">
        <f>0</f>
        <v>0</v>
      </c>
      <c r="Q130" s="15" t="s">
        <v>40</v>
      </c>
      <c r="R130" s="15" t="s">
        <v>51</v>
      </c>
      <c r="S130" s="24">
        <f>1050000</f>
        <v>1050000</v>
      </c>
      <c r="T130" s="15"/>
      <c r="U130" s="7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</row>
    <row r="131" spans="1:148" ht="15">
      <c r="A131" s="14" t="s">
        <v>32</v>
      </c>
      <c r="B131" s="15"/>
      <c r="C131" s="15"/>
      <c r="D131" s="24">
        <f>0</f>
        <v>0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24">
        <f>0</f>
        <v>0</v>
      </c>
      <c r="P131" s="24">
        <f>0</f>
        <v>0</v>
      </c>
      <c r="Q131" s="15" t="s">
        <v>40</v>
      </c>
      <c r="R131" s="15" t="s">
        <v>52</v>
      </c>
      <c r="S131" s="24">
        <f>1085000</f>
        <v>1085000</v>
      </c>
      <c r="T131" s="15"/>
      <c r="U131" s="7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</row>
    <row r="132" spans="1:148" ht="15">
      <c r="A132" s="14" t="s">
        <v>32</v>
      </c>
      <c r="B132" s="15"/>
      <c r="C132" s="15"/>
      <c r="D132" s="24">
        <f>0</f>
        <v>0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24">
        <f>0</f>
        <v>0</v>
      </c>
      <c r="P132" s="24">
        <f>0</f>
        <v>0</v>
      </c>
      <c r="Q132" s="15" t="s">
        <v>40</v>
      </c>
      <c r="R132" s="15" t="s">
        <v>53</v>
      </c>
      <c r="S132" s="24">
        <f>1050000</f>
        <v>1050000</v>
      </c>
      <c r="T132" s="15"/>
      <c r="U132" s="7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</row>
    <row r="133" spans="1:148" ht="15">
      <c r="A133" s="14" t="s">
        <v>32</v>
      </c>
      <c r="B133" s="15"/>
      <c r="C133" s="15"/>
      <c r="D133" s="24">
        <f>0</f>
        <v>0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24">
        <f>0</f>
        <v>0</v>
      </c>
      <c r="P133" s="24">
        <f>0</f>
        <v>0</v>
      </c>
      <c r="Q133" s="15" t="s">
        <v>40</v>
      </c>
      <c r="R133" s="15" t="s">
        <v>54</v>
      </c>
      <c r="S133" s="24">
        <f>1087589.04</f>
        <v>1087589.04</v>
      </c>
      <c r="T133" s="15"/>
      <c r="U133" s="7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</row>
    <row r="134" spans="1:148" ht="15">
      <c r="A134" s="14" t="s">
        <v>32</v>
      </c>
      <c r="B134" s="15"/>
      <c r="C134" s="15"/>
      <c r="D134" s="24">
        <f>0</f>
        <v>0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24">
        <f>0</f>
        <v>0</v>
      </c>
      <c r="P134" s="24">
        <f>0</f>
        <v>0</v>
      </c>
      <c r="Q134" s="15" t="s">
        <v>40</v>
      </c>
      <c r="R134" s="15" t="s">
        <v>55</v>
      </c>
      <c r="S134" s="24">
        <f>1087972.6</f>
        <v>1087972.6</v>
      </c>
      <c r="T134" s="15"/>
      <c r="U134" s="7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</row>
    <row r="135" spans="1:148" ht="15">
      <c r="A135" s="14" t="s">
        <v>32</v>
      </c>
      <c r="B135" s="15"/>
      <c r="C135" s="15"/>
      <c r="D135" s="24">
        <f>0</f>
        <v>0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24">
        <f>0</f>
        <v>0</v>
      </c>
      <c r="P135" s="24">
        <f>0</f>
        <v>0</v>
      </c>
      <c r="Q135" s="15" t="s">
        <v>40</v>
      </c>
      <c r="R135" s="15" t="s">
        <v>56</v>
      </c>
      <c r="S135" s="24">
        <f>982684.93</f>
        <v>982684.93</v>
      </c>
      <c r="T135" s="15"/>
      <c r="U135" s="7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</row>
    <row r="136" spans="1:148" ht="15">
      <c r="A136" s="14" t="s">
        <v>32</v>
      </c>
      <c r="B136" s="15"/>
      <c r="C136" s="15"/>
      <c r="D136" s="24">
        <f>0</f>
        <v>0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24">
        <f>0</f>
        <v>0</v>
      </c>
      <c r="P136" s="24">
        <f>0</f>
        <v>0</v>
      </c>
      <c r="Q136" s="15" t="s">
        <v>40</v>
      </c>
      <c r="R136" s="15" t="s">
        <v>57</v>
      </c>
      <c r="S136" s="24">
        <f>1087972.6</f>
        <v>1087972.6</v>
      </c>
      <c r="T136" s="15"/>
      <c r="U136" s="7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</row>
    <row r="137" spans="1:148" ht="15">
      <c r="A137" s="14" t="s">
        <v>32</v>
      </c>
      <c r="B137" s="15"/>
      <c r="C137" s="15"/>
      <c r="D137" s="24">
        <f>0</f>
        <v>0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24">
        <f>0</f>
        <v>0</v>
      </c>
      <c r="P137" s="24">
        <f>0</f>
        <v>0</v>
      </c>
      <c r="Q137" s="15" t="s">
        <v>40</v>
      </c>
      <c r="R137" s="15" t="s">
        <v>58</v>
      </c>
      <c r="S137" s="24">
        <f>1052876.71</f>
        <v>1052876.71</v>
      </c>
      <c r="T137" s="15"/>
      <c r="U137" s="7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</row>
    <row r="138" spans="1:148" ht="15">
      <c r="A138" s="14" t="s">
        <v>32</v>
      </c>
      <c r="B138" s="15"/>
      <c r="C138" s="15"/>
      <c r="D138" s="24">
        <f>0</f>
        <v>0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24">
        <f>0</f>
        <v>0</v>
      </c>
      <c r="P138" s="24">
        <f>0</f>
        <v>0</v>
      </c>
      <c r="Q138" s="15" t="s">
        <v>40</v>
      </c>
      <c r="R138" s="15" t="s">
        <v>72</v>
      </c>
      <c r="S138" s="24">
        <f>1087972.6</f>
        <v>1087972.6</v>
      </c>
      <c r="T138" s="15"/>
      <c r="U138" s="7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</row>
    <row r="139" spans="1:148" ht="15">
      <c r="A139" s="14" t="s">
        <v>32</v>
      </c>
      <c r="B139" s="15"/>
      <c r="C139" s="15"/>
      <c r="D139" s="24">
        <f>0</f>
        <v>0</v>
      </c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4">
        <f>0</f>
        <v>0</v>
      </c>
      <c r="P139" s="24">
        <f>0</f>
        <v>0</v>
      </c>
      <c r="Q139" s="15" t="s">
        <v>40</v>
      </c>
      <c r="R139" s="15" t="s">
        <v>84</v>
      </c>
      <c r="S139" s="24">
        <f>1052876.71</f>
        <v>1052876.71</v>
      </c>
      <c r="T139" s="15"/>
      <c r="U139" s="7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</row>
    <row r="140" spans="1:148" ht="15">
      <c r="A140" s="14" t="s">
        <v>32</v>
      </c>
      <c r="B140" s="15"/>
      <c r="C140" s="15"/>
      <c r="D140" s="24">
        <f>0</f>
        <v>0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24">
        <f>0</f>
        <v>0</v>
      </c>
      <c r="P140" s="24">
        <f>0</f>
        <v>0</v>
      </c>
      <c r="Q140" s="15" t="s">
        <v>40</v>
      </c>
      <c r="R140" s="15" t="s">
        <v>85</v>
      </c>
      <c r="S140" s="24">
        <f>1087972.6</f>
        <v>1087972.6</v>
      </c>
      <c r="T140" s="15"/>
      <c r="U140" s="7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</row>
    <row r="141" spans="1:148" ht="15">
      <c r="A141" s="14" t="s">
        <v>32</v>
      </c>
      <c r="B141" s="15"/>
      <c r="C141" s="15"/>
      <c r="D141" s="24">
        <f>0</f>
        <v>0</v>
      </c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24">
        <f>0</f>
        <v>0</v>
      </c>
      <c r="P141" s="24">
        <f>0</f>
        <v>0</v>
      </c>
      <c r="Q141" s="15" t="s">
        <v>40</v>
      </c>
      <c r="R141" s="15" t="s">
        <v>86</v>
      </c>
      <c r="S141" s="24">
        <f>1087972.6</f>
        <v>1087972.6</v>
      </c>
      <c r="T141" s="15"/>
      <c r="U141" s="7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</row>
    <row r="142" spans="1:148" ht="89.25">
      <c r="A142" s="11" t="s">
        <v>31</v>
      </c>
      <c r="B142" s="12" t="s">
        <v>92</v>
      </c>
      <c r="C142" s="13" t="s">
        <v>33</v>
      </c>
      <c r="D142" s="23">
        <f>300000000</f>
        <v>300000000</v>
      </c>
      <c r="E142" s="13" t="s">
        <v>75</v>
      </c>
      <c r="F142" s="13" t="s">
        <v>93</v>
      </c>
      <c r="G142" s="13" t="s">
        <v>36</v>
      </c>
      <c r="H142" s="13"/>
      <c r="I142" s="13" t="s">
        <v>90</v>
      </c>
      <c r="J142" s="13" t="s">
        <v>91</v>
      </c>
      <c r="K142" s="12" t="s">
        <v>94</v>
      </c>
      <c r="L142" s="13"/>
      <c r="M142" s="13"/>
      <c r="N142" s="13"/>
      <c r="O142" s="23">
        <f>0</f>
        <v>0</v>
      </c>
      <c r="P142" s="23">
        <f>300000000</f>
        <v>300000000</v>
      </c>
      <c r="Q142" s="13" t="s">
        <v>40</v>
      </c>
      <c r="R142" s="13" t="s">
        <v>50</v>
      </c>
      <c r="S142" s="23">
        <f>586885.25</f>
        <v>586885.25</v>
      </c>
      <c r="T142" s="13"/>
      <c r="U142" s="7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</row>
    <row r="143" spans="1:148" ht="15">
      <c r="A143" s="14" t="s">
        <v>32</v>
      </c>
      <c r="B143" s="15"/>
      <c r="C143" s="15"/>
      <c r="D143" s="24">
        <f>0</f>
        <v>0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24">
        <f>0</f>
        <v>0</v>
      </c>
      <c r="P143" s="24">
        <f>0</f>
        <v>0</v>
      </c>
      <c r="Q143" s="15" t="s">
        <v>40</v>
      </c>
      <c r="R143" s="15" t="s">
        <v>51</v>
      </c>
      <c r="S143" s="24">
        <f>2200819.67</f>
        <v>2200819.67</v>
      </c>
      <c r="T143" s="15"/>
      <c r="U143" s="7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</row>
    <row r="144" spans="1:148" ht="15">
      <c r="A144" s="14" t="s">
        <v>32</v>
      </c>
      <c r="B144" s="15"/>
      <c r="C144" s="15"/>
      <c r="D144" s="24">
        <f>0</f>
        <v>0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24">
        <f>0</f>
        <v>0</v>
      </c>
      <c r="P144" s="24">
        <f>0</f>
        <v>0</v>
      </c>
      <c r="Q144" s="15" t="s">
        <v>40</v>
      </c>
      <c r="R144" s="15" t="s">
        <v>52</v>
      </c>
      <c r="S144" s="24">
        <f>2274180.33</f>
        <v>2274180.33</v>
      </c>
      <c r="T144" s="15"/>
      <c r="U144" s="7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</row>
    <row r="145" spans="1:148" ht="15">
      <c r="A145" s="14" t="s">
        <v>32</v>
      </c>
      <c r="B145" s="15"/>
      <c r="C145" s="15"/>
      <c r="D145" s="24">
        <f>0</f>
        <v>0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24">
        <f>0</f>
        <v>0</v>
      </c>
      <c r="P145" s="24">
        <f>0</f>
        <v>0</v>
      </c>
      <c r="Q145" s="15" t="s">
        <v>40</v>
      </c>
      <c r="R145" s="15" t="s">
        <v>53</v>
      </c>
      <c r="S145" s="24">
        <f>2200819.67</f>
        <v>2200819.67</v>
      </c>
      <c r="T145" s="15"/>
      <c r="U145" s="7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</row>
    <row r="146" spans="1:148" ht="15">
      <c r="A146" s="14" t="s">
        <v>32</v>
      </c>
      <c r="B146" s="15"/>
      <c r="C146" s="15"/>
      <c r="D146" s="24">
        <f>0</f>
        <v>0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24">
        <f>0</f>
        <v>0</v>
      </c>
      <c r="P146" s="24">
        <f>0</f>
        <v>0</v>
      </c>
      <c r="Q146" s="15" t="s">
        <v>40</v>
      </c>
      <c r="R146" s="15" t="s">
        <v>54</v>
      </c>
      <c r="S146" s="24">
        <f>2279607</f>
        <v>2279607</v>
      </c>
      <c r="T146" s="15"/>
      <c r="U146" s="7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</row>
    <row r="147" spans="1:148" ht="15">
      <c r="A147" s="14" t="s">
        <v>32</v>
      </c>
      <c r="B147" s="15"/>
      <c r="C147" s="15"/>
      <c r="D147" s="24">
        <f>0</f>
        <v>0</v>
      </c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24">
        <f>0</f>
        <v>0</v>
      </c>
      <c r="P147" s="24">
        <f>0</f>
        <v>0</v>
      </c>
      <c r="Q147" s="15" t="s">
        <v>40</v>
      </c>
      <c r="R147" s="15" t="s">
        <v>55</v>
      </c>
      <c r="S147" s="24">
        <f>2280410.96</f>
        <v>2280410.96</v>
      </c>
      <c r="T147" s="15"/>
      <c r="U147" s="7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</row>
    <row r="148" spans="1:148" ht="15">
      <c r="A148" s="14" t="s">
        <v>32</v>
      </c>
      <c r="B148" s="15"/>
      <c r="C148" s="15"/>
      <c r="D148" s="24">
        <f>0</f>
        <v>0</v>
      </c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24">
        <f>0</f>
        <v>0</v>
      </c>
      <c r="P148" s="24">
        <f>0</f>
        <v>0</v>
      </c>
      <c r="Q148" s="15" t="s">
        <v>40</v>
      </c>
      <c r="R148" s="15" t="s">
        <v>56</v>
      </c>
      <c r="S148" s="24">
        <f>2059726.03</f>
        <v>2059726.03</v>
      </c>
      <c r="T148" s="15"/>
      <c r="U148" s="7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</row>
    <row r="149" spans="1:148" ht="15">
      <c r="A149" s="14" t="s">
        <v>32</v>
      </c>
      <c r="B149" s="15"/>
      <c r="C149" s="15"/>
      <c r="D149" s="24">
        <f>0</f>
        <v>0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24">
        <f>0</f>
        <v>0</v>
      </c>
      <c r="P149" s="24">
        <f>0</f>
        <v>0</v>
      </c>
      <c r="Q149" s="15" t="s">
        <v>40</v>
      </c>
      <c r="R149" s="15" t="s">
        <v>57</v>
      </c>
      <c r="S149" s="24">
        <f>2280410.96</f>
        <v>2280410.96</v>
      </c>
      <c r="T149" s="15"/>
      <c r="U149" s="7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</row>
    <row r="150" spans="1:148" ht="15">
      <c r="A150" s="14" t="s">
        <v>32</v>
      </c>
      <c r="B150" s="15"/>
      <c r="C150" s="15"/>
      <c r="D150" s="24">
        <f>0</f>
        <v>0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24">
        <f>0</f>
        <v>0</v>
      </c>
      <c r="P150" s="24">
        <f>0</f>
        <v>0</v>
      </c>
      <c r="Q150" s="15" t="s">
        <v>40</v>
      </c>
      <c r="R150" s="15" t="s">
        <v>58</v>
      </c>
      <c r="S150" s="24">
        <f>2206849.32</f>
        <v>2206849.32</v>
      </c>
      <c r="T150" s="15"/>
      <c r="U150" s="7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</row>
    <row r="151" spans="1:148" ht="15">
      <c r="A151" s="14" t="s">
        <v>32</v>
      </c>
      <c r="B151" s="15"/>
      <c r="C151" s="15"/>
      <c r="D151" s="24">
        <f>0</f>
        <v>0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24">
        <f>0</f>
        <v>0</v>
      </c>
      <c r="P151" s="24">
        <f>0</f>
        <v>0</v>
      </c>
      <c r="Q151" s="15" t="s">
        <v>40</v>
      </c>
      <c r="R151" s="15" t="s">
        <v>72</v>
      </c>
      <c r="S151" s="24">
        <f>2280410.96</f>
        <v>2280410.96</v>
      </c>
      <c r="T151" s="15"/>
      <c r="U151" s="7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</row>
    <row r="152" spans="1:148" ht="15">
      <c r="A152" s="14" t="s">
        <v>32</v>
      </c>
      <c r="B152" s="15"/>
      <c r="C152" s="15"/>
      <c r="D152" s="24">
        <f>0</f>
        <v>0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24">
        <f>0</f>
        <v>0</v>
      </c>
      <c r="P152" s="24">
        <f>0</f>
        <v>0</v>
      </c>
      <c r="Q152" s="15" t="s">
        <v>40</v>
      </c>
      <c r="R152" s="15" t="s">
        <v>84</v>
      </c>
      <c r="S152" s="24">
        <f>2206849.32</f>
        <v>2206849.32</v>
      </c>
      <c r="T152" s="15"/>
      <c r="U152" s="7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</row>
    <row r="153" spans="1:148" ht="15">
      <c r="A153" s="14" t="s">
        <v>32</v>
      </c>
      <c r="B153" s="15"/>
      <c r="C153" s="15"/>
      <c r="D153" s="24">
        <f>0</f>
        <v>0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24">
        <f>0</f>
        <v>0</v>
      </c>
      <c r="P153" s="24">
        <f>0</f>
        <v>0</v>
      </c>
      <c r="Q153" s="15" t="s">
        <v>40</v>
      </c>
      <c r="R153" s="15" t="s">
        <v>85</v>
      </c>
      <c r="S153" s="24">
        <f>2280410.96</f>
        <v>2280410.96</v>
      </c>
      <c r="T153" s="15"/>
      <c r="U153" s="7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</row>
    <row r="154" spans="1:148" ht="15">
      <c r="A154" s="14" t="s">
        <v>32</v>
      </c>
      <c r="B154" s="15"/>
      <c r="C154" s="15"/>
      <c r="D154" s="24">
        <f>0</f>
        <v>0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24">
        <f>0</f>
        <v>0</v>
      </c>
      <c r="P154" s="24">
        <f>0</f>
        <v>0</v>
      </c>
      <c r="Q154" s="15" t="s">
        <v>40</v>
      </c>
      <c r="R154" s="15" t="s">
        <v>86</v>
      </c>
      <c r="S154" s="24">
        <f>2280410.96</f>
        <v>2280410.96</v>
      </c>
      <c r="T154" s="15"/>
      <c r="U154" s="7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</row>
    <row r="155" spans="1:148" ht="89.25">
      <c r="A155" s="11" t="s">
        <v>31</v>
      </c>
      <c r="B155" s="12" t="s">
        <v>95</v>
      </c>
      <c r="C155" s="13" t="s">
        <v>33</v>
      </c>
      <c r="D155" s="23">
        <f>170000000</f>
        <v>170000000</v>
      </c>
      <c r="E155" s="13" t="s">
        <v>75</v>
      </c>
      <c r="F155" s="13" t="s">
        <v>96</v>
      </c>
      <c r="G155" s="13" t="s">
        <v>36</v>
      </c>
      <c r="H155" s="13"/>
      <c r="I155" s="13" t="s">
        <v>90</v>
      </c>
      <c r="J155" s="13" t="s">
        <v>91</v>
      </c>
      <c r="K155" s="12" t="s">
        <v>94</v>
      </c>
      <c r="L155" s="13"/>
      <c r="M155" s="13"/>
      <c r="N155" s="13"/>
      <c r="O155" s="23">
        <f>0</f>
        <v>0</v>
      </c>
      <c r="P155" s="23">
        <f>170000000</f>
        <v>170000000</v>
      </c>
      <c r="Q155" s="13" t="s">
        <v>40</v>
      </c>
      <c r="R155" s="13" t="s">
        <v>50</v>
      </c>
      <c r="S155" s="23">
        <f>332568.31</f>
        <v>332568.31</v>
      </c>
      <c r="T155" s="13"/>
      <c r="U155" s="7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</row>
    <row r="156" spans="1:148" ht="15">
      <c r="A156" s="14" t="s">
        <v>32</v>
      </c>
      <c r="B156" s="15"/>
      <c r="C156" s="15"/>
      <c r="D156" s="24">
        <f>0</f>
        <v>0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24">
        <f>0</f>
        <v>0</v>
      </c>
      <c r="P156" s="24">
        <f>0</f>
        <v>0</v>
      </c>
      <c r="Q156" s="15" t="s">
        <v>40</v>
      </c>
      <c r="R156" s="15" t="s">
        <v>51</v>
      </c>
      <c r="S156" s="24">
        <f>1247131.15</f>
        <v>1247131.15</v>
      </c>
      <c r="T156" s="15"/>
      <c r="U156" s="7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</row>
    <row r="157" spans="1:148" ht="15">
      <c r="A157" s="14" t="s">
        <v>32</v>
      </c>
      <c r="B157" s="15"/>
      <c r="C157" s="15"/>
      <c r="D157" s="24">
        <f>0</f>
        <v>0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24">
        <f>0</f>
        <v>0</v>
      </c>
      <c r="P157" s="24">
        <f>0</f>
        <v>0</v>
      </c>
      <c r="Q157" s="15" t="s">
        <v>40</v>
      </c>
      <c r="R157" s="15" t="s">
        <v>52</v>
      </c>
      <c r="S157" s="24">
        <f>1288702.19</f>
        <v>1288702.19</v>
      </c>
      <c r="T157" s="15"/>
      <c r="U157" s="7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</row>
    <row r="158" spans="1:148" ht="15">
      <c r="A158" s="14" t="s">
        <v>32</v>
      </c>
      <c r="B158" s="15"/>
      <c r="C158" s="15"/>
      <c r="D158" s="24">
        <f>0</f>
        <v>0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24">
        <f>0</f>
        <v>0</v>
      </c>
      <c r="P158" s="24">
        <f>0</f>
        <v>0</v>
      </c>
      <c r="Q158" s="15" t="s">
        <v>40</v>
      </c>
      <c r="R158" s="15" t="s">
        <v>53</v>
      </c>
      <c r="S158" s="24">
        <f>1247131.15</f>
        <v>1247131.15</v>
      </c>
      <c r="T158" s="15"/>
      <c r="U158" s="7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</row>
    <row r="159" spans="1:148" ht="15">
      <c r="A159" s="14" t="s">
        <v>32</v>
      </c>
      <c r="B159" s="15"/>
      <c r="C159" s="15"/>
      <c r="D159" s="24">
        <f>0</f>
        <v>0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24">
        <f>0</f>
        <v>0</v>
      </c>
      <c r="P159" s="24">
        <f>0</f>
        <v>0</v>
      </c>
      <c r="Q159" s="15" t="s">
        <v>40</v>
      </c>
      <c r="R159" s="15" t="s">
        <v>54</v>
      </c>
      <c r="S159" s="24">
        <f>1291777.3</f>
        <v>1291777.3</v>
      </c>
      <c r="T159" s="15"/>
      <c r="U159" s="7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</row>
    <row r="160" spans="1:148" ht="15">
      <c r="A160" s="14" t="s">
        <v>32</v>
      </c>
      <c r="B160" s="15"/>
      <c r="C160" s="15"/>
      <c r="D160" s="24">
        <f>0</f>
        <v>0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24">
        <f>0</f>
        <v>0</v>
      </c>
      <c r="P160" s="24">
        <f>0</f>
        <v>0</v>
      </c>
      <c r="Q160" s="15" t="s">
        <v>40</v>
      </c>
      <c r="R160" s="15" t="s">
        <v>55</v>
      </c>
      <c r="S160" s="24">
        <f>1292232.88</f>
        <v>1292232.88</v>
      </c>
      <c r="T160" s="15"/>
      <c r="U160" s="7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</row>
    <row r="161" spans="1:148" ht="15">
      <c r="A161" s="14" t="s">
        <v>32</v>
      </c>
      <c r="B161" s="15"/>
      <c r="C161" s="15"/>
      <c r="D161" s="24">
        <f>0</f>
        <v>0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24">
        <f>0</f>
        <v>0</v>
      </c>
      <c r="P161" s="24">
        <f>0</f>
        <v>0</v>
      </c>
      <c r="Q161" s="15" t="s">
        <v>40</v>
      </c>
      <c r="R161" s="15" t="s">
        <v>56</v>
      </c>
      <c r="S161" s="24">
        <f>1167178.08</f>
        <v>1167178.08</v>
      </c>
      <c r="T161" s="15"/>
      <c r="U161" s="7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</row>
    <row r="162" spans="1:148" ht="15">
      <c r="A162" s="14" t="s">
        <v>32</v>
      </c>
      <c r="B162" s="15"/>
      <c r="C162" s="15"/>
      <c r="D162" s="24">
        <f>0</f>
        <v>0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24">
        <f>0</f>
        <v>0</v>
      </c>
      <c r="P162" s="24">
        <f>0</f>
        <v>0</v>
      </c>
      <c r="Q162" s="15" t="s">
        <v>40</v>
      </c>
      <c r="R162" s="15" t="s">
        <v>57</v>
      </c>
      <c r="S162" s="24">
        <f>1292232.88</f>
        <v>1292232.88</v>
      </c>
      <c r="T162" s="15"/>
      <c r="U162" s="7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</row>
    <row r="163" spans="1:148" ht="15">
      <c r="A163" s="14" t="s">
        <v>32</v>
      </c>
      <c r="B163" s="15"/>
      <c r="C163" s="15"/>
      <c r="D163" s="24">
        <f>0</f>
        <v>0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24">
        <f>0</f>
        <v>0</v>
      </c>
      <c r="P163" s="24">
        <f>0</f>
        <v>0</v>
      </c>
      <c r="Q163" s="15" t="s">
        <v>40</v>
      </c>
      <c r="R163" s="15" t="s">
        <v>58</v>
      </c>
      <c r="S163" s="24">
        <f>1250547.95</f>
        <v>1250547.95</v>
      </c>
      <c r="T163" s="15"/>
      <c r="U163" s="7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</row>
    <row r="164" spans="1:148" ht="15">
      <c r="A164" s="14" t="s">
        <v>32</v>
      </c>
      <c r="B164" s="15"/>
      <c r="C164" s="15"/>
      <c r="D164" s="24">
        <f>0</f>
        <v>0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24">
        <f>0</f>
        <v>0</v>
      </c>
      <c r="P164" s="24">
        <f>0</f>
        <v>0</v>
      </c>
      <c r="Q164" s="15" t="s">
        <v>40</v>
      </c>
      <c r="R164" s="15" t="s">
        <v>72</v>
      </c>
      <c r="S164" s="24">
        <f>1292232.88</f>
        <v>1292232.88</v>
      </c>
      <c r="T164" s="15"/>
      <c r="U164" s="7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</row>
    <row r="165" spans="1:148" ht="15">
      <c r="A165" s="14" t="s">
        <v>32</v>
      </c>
      <c r="B165" s="15"/>
      <c r="C165" s="15"/>
      <c r="D165" s="24">
        <f>0</f>
        <v>0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24">
        <f>0</f>
        <v>0</v>
      </c>
      <c r="P165" s="24">
        <f>0</f>
        <v>0</v>
      </c>
      <c r="Q165" s="15" t="s">
        <v>40</v>
      </c>
      <c r="R165" s="15" t="s">
        <v>84</v>
      </c>
      <c r="S165" s="24">
        <f>1250547.95</f>
        <v>1250547.95</v>
      </c>
      <c r="T165" s="15"/>
      <c r="U165" s="7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</row>
    <row r="166" spans="1:148" ht="15">
      <c r="A166" s="14" t="s">
        <v>32</v>
      </c>
      <c r="B166" s="15"/>
      <c r="C166" s="15"/>
      <c r="D166" s="24">
        <f>0</f>
        <v>0</v>
      </c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24">
        <f>0</f>
        <v>0</v>
      </c>
      <c r="P166" s="24">
        <f>0</f>
        <v>0</v>
      </c>
      <c r="Q166" s="15" t="s">
        <v>40</v>
      </c>
      <c r="R166" s="15" t="s">
        <v>85</v>
      </c>
      <c r="S166" s="24">
        <f>1292232.88</f>
        <v>1292232.88</v>
      </c>
      <c r="T166" s="15"/>
      <c r="U166" s="7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</row>
    <row r="167" spans="1:148" ht="15">
      <c r="A167" s="14" t="s">
        <v>32</v>
      </c>
      <c r="B167" s="15"/>
      <c r="C167" s="15"/>
      <c r="D167" s="24">
        <f>0</f>
        <v>0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24">
        <f>0</f>
        <v>0</v>
      </c>
      <c r="P167" s="24">
        <f>0</f>
        <v>0</v>
      </c>
      <c r="Q167" s="15" t="s">
        <v>40</v>
      </c>
      <c r="R167" s="15" t="s">
        <v>86</v>
      </c>
      <c r="S167" s="24">
        <f>1292232.88</f>
        <v>1292232.88</v>
      </c>
      <c r="T167" s="15"/>
      <c r="U167" s="7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</row>
    <row r="168" spans="1:148" ht="89.25">
      <c r="A168" s="11" t="s">
        <v>31</v>
      </c>
      <c r="B168" s="12" t="s">
        <v>97</v>
      </c>
      <c r="C168" s="13" t="s">
        <v>33</v>
      </c>
      <c r="D168" s="23">
        <f>130000000</f>
        <v>130000000</v>
      </c>
      <c r="E168" s="13" t="s">
        <v>75</v>
      </c>
      <c r="F168" s="13" t="s">
        <v>98</v>
      </c>
      <c r="G168" s="13" t="s">
        <v>36</v>
      </c>
      <c r="H168" s="13"/>
      <c r="I168" s="13" t="s">
        <v>50</v>
      </c>
      <c r="J168" s="13" t="s">
        <v>99</v>
      </c>
      <c r="K168" s="12" t="s">
        <v>94</v>
      </c>
      <c r="L168" s="13"/>
      <c r="M168" s="13"/>
      <c r="N168" s="13"/>
      <c r="O168" s="23">
        <f>0</f>
        <v>0</v>
      </c>
      <c r="P168" s="23">
        <f>130000000</f>
        <v>130000000</v>
      </c>
      <c r="Q168" s="13" t="s">
        <v>40</v>
      </c>
      <c r="R168" s="13" t="s">
        <v>100</v>
      </c>
      <c r="S168" s="23">
        <f>31789.62</f>
        <v>31789.62</v>
      </c>
      <c r="T168" s="13"/>
      <c r="U168" s="7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</row>
    <row r="169" spans="1:148" ht="15">
      <c r="A169" s="14" t="s">
        <v>32</v>
      </c>
      <c r="B169" s="15"/>
      <c r="C169" s="15"/>
      <c r="D169" s="24">
        <f>0</f>
        <v>0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24">
        <f>0</f>
        <v>0</v>
      </c>
      <c r="P169" s="24">
        <f>0</f>
        <v>0</v>
      </c>
      <c r="Q169" s="15" t="s">
        <v>40</v>
      </c>
      <c r="R169" s="15" t="s">
        <v>51</v>
      </c>
      <c r="S169" s="24">
        <f>953688.52</f>
        <v>953688.52</v>
      </c>
      <c r="T169" s="15"/>
      <c r="U169" s="7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</row>
    <row r="170" spans="1:148" ht="15">
      <c r="A170" s="14" t="s">
        <v>32</v>
      </c>
      <c r="B170" s="15"/>
      <c r="C170" s="15"/>
      <c r="D170" s="24">
        <f>0</f>
        <v>0</v>
      </c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24">
        <f>0</f>
        <v>0</v>
      </c>
      <c r="P170" s="24">
        <f>0</f>
        <v>0</v>
      </c>
      <c r="Q170" s="15" t="s">
        <v>40</v>
      </c>
      <c r="R170" s="15" t="s">
        <v>52</v>
      </c>
      <c r="S170" s="24">
        <f>985478.14</f>
        <v>985478.14</v>
      </c>
      <c r="T170" s="15"/>
      <c r="U170" s="7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</row>
    <row r="171" spans="1:148" ht="15">
      <c r="A171" s="14" t="s">
        <v>32</v>
      </c>
      <c r="B171" s="15"/>
      <c r="C171" s="15"/>
      <c r="D171" s="24">
        <f>0</f>
        <v>0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24">
        <f>0</f>
        <v>0</v>
      </c>
      <c r="P171" s="24">
        <f>0</f>
        <v>0</v>
      </c>
      <c r="Q171" s="15" t="s">
        <v>40</v>
      </c>
      <c r="R171" s="15" t="s">
        <v>53</v>
      </c>
      <c r="S171" s="24">
        <f>953688.52</f>
        <v>953688.52</v>
      </c>
      <c r="T171" s="15"/>
      <c r="U171" s="7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</row>
    <row r="172" spans="1:148" ht="15">
      <c r="A172" s="14" t="s">
        <v>32</v>
      </c>
      <c r="B172" s="15"/>
      <c r="C172" s="15"/>
      <c r="D172" s="24">
        <f>0</f>
        <v>0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24">
        <f>0</f>
        <v>0</v>
      </c>
      <c r="P172" s="24">
        <f>0</f>
        <v>0</v>
      </c>
      <c r="Q172" s="15" t="s">
        <v>40</v>
      </c>
      <c r="R172" s="15" t="s">
        <v>54</v>
      </c>
      <c r="S172" s="24">
        <f>987829.7</f>
        <v>987829.7</v>
      </c>
      <c r="T172" s="15"/>
      <c r="U172" s="7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</row>
    <row r="173" spans="1:148" ht="15">
      <c r="A173" s="14" t="s">
        <v>32</v>
      </c>
      <c r="B173" s="15"/>
      <c r="C173" s="15"/>
      <c r="D173" s="24">
        <f>0</f>
        <v>0</v>
      </c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24">
        <f>0</f>
        <v>0</v>
      </c>
      <c r="P173" s="24">
        <f>0</f>
        <v>0</v>
      </c>
      <c r="Q173" s="15" t="s">
        <v>40</v>
      </c>
      <c r="R173" s="15" t="s">
        <v>55</v>
      </c>
      <c r="S173" s="24">
        <f>988178.08</f>
        <v>988178.08</v>
      </c>
      <c r="T173" s="15"/>
      <c r="U173" s="7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</row>
    <row r="174" spans="1:148" ht="15">
      <c r="A174" s="14" t="s">
        <v>32</v>
      </c>
      <c r="B174" s="15"/>
      <c r="C174" s="15"/>
      <c r="D174" s="24">
        <f>0</f>
        <v>0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24">
        <f>0</f>
        <v>0</v>
      </c>
      <c r="P174" s="24">
        <f>0</f>
        <v>0</v>
      </c>
      <c r="Q174" s="15" t="s">
        <v>40</v>
      </c>
      <c r="R174" s="15" t="s">
        <v>56</v>
      </c>
      <c r="S174" s="24">
        <f>892547.95</f>
        <v>892547.95</v>
      </c>
      <c r="T174" s="15"/>
      <c r="U174" s="7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</row>
    <row r="175" spans="1:148" ht="15">
      <c r="A175" s="14" t="s">
        <v>32</v>
      </c>
      <c r="B175" s="15"/>
      <c r="C175" s="15"/>
      <c r="D175" s="24">
        <f>0</f>
        <v>0</v>
      </c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24">
        <f>0</f>
        <v>0</v>
      </c>
      <c r="P175" s="24">
        <f>0</f>
        <v>0</v>
      </c>
      <c r="Q175" s="15" t="s">
        <v>40</v>
      </c>
      <c r="R175" s="15" t="s">
        <v>57</v>
      </c>
      <c r="S175" s="24">
        <f>988178.08</f>
        <v>988178.08</v>
      </c>
      <c r="T175" s="15"/>
      <c r="U175" s="7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</row>
    <row r="176" spans="1:148" ht="15">
      <c r="A176" s="14" t="s">
        <v>32</v>
      </c>
      <c r="B176" s="15"/>
      <c r="C176" s="15"/>
      <c r="D176" s="24">
        <f>0</f>
        <v>0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24">
        <f>0</f>
        <v>0</v>
      </c>
      <c r="P176" s="24">
        <f>0</f>
        <v>0</v>
      </c>
      <c r="Q176" s="15" t="s">
        <v>40</v>
      </c>
      <c r="R176" s="15" t="s">
        <v>58</v>
      </c>
      <c r="S176" s="24">
        <f>956301.37</f>
        <v>956301.37</v>
      </c>
      <c r="T176" s="15"/>
      <c r="U176" s="7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</row>
    <row r="177" spans="1:148" ht="15">
      <c r="A177" s="14" t="s">
        <v>32</v>
      </c>
      <c r="B177" s="15"/>
      <c r="C177" s="15"/>
      <c r="D177" s="24">
        <f>0</f>
        <v>0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24">
        <f>0</f>
        <v>0</v>
      </c>
      <c r="P177" s="24">
        <f>0</f>
        <v>0</v>
      </c>
      <c r="Q177" s="15" t="s">
        <v>40</v>
      </c>
      <c r="R177" s="15" t="s">
        <v>72</v>
      </c>
      <c r="S177" s="24">
        <f>988178.08</f>
        <v>988178.08</v>
      </c>
      <c r="T177" s="15"/>
      <c r="U177" s="7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</row>
    <row r="178" spans="1:148" ht="15">
      <c r="A178" s="14" t="s">
        <v>32</v>
      </c>
      <c r="B178" s="15"/>
      <c r="C178" s="15"/>
      <c r="D178" s="24">
        <f>0</f>
        <v>0</v>
      </c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24">
        <f>0</f>
        <v>0</v>
      </c>
      <c r="P178" s="24">
        <f>0</f>
        <v>0</v>
      </c>
      <c r="Q178" s="15" t="s">
        <v>40</v>
      </c>
      <c r="R178" s="15" t="s">
        <v>84</v>
      </c>
      <c r="S178" s="24">
        <f>956301.37</f>
        <v>956301.37</v>
      </c>
      <c r="T178" s="15"/>
      <c r="U178" s="7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</row>
    <row r="179" spans="1:148" ht="15">
      <c r="A179" s="14" t="s">
        <v>32</v>
      </c>
      <c r="B179" s="15"/>
      <c r="C179" s="15"/>
      <c r="D179" s="24">
        <f>0</f>
        <v>0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24">
        <f>0</f>
        <v>0</v>
      </c>
      <c r="P179" s="24">
        <f>0</f>
        <v>0</v>
      </c>
      <c r="Q179" s="15" t="s">
        <v>40</v>
      </c>
      <c r="R179" s="15" t="s">
        <v>85</v>
      </c>
      <c r="S179" s="24">
        <f>988178.08</f>
        <v>988178.08</v>
      </c>
      <c r="T179" s="15"/>
      <c r="U179" s="7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</row>
    <row r="180" spans="1:148" ht="15">
      <c r="A180" s="14" t="s">
        <v>32</v>
      </c>
      <c r="B180" s="15"/>
      <c r="C180" s="15"/>
      <c r="D180" s="24">
        <f>0</f>
        <v>0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24">
        <f>0</f>
        <v>0</v>
      </c>
      <c r="P180" s="24">
        <f>0</f>
        <v>0</v>
      </c>
      <c r="Q180" s="15" t="s">
        <v>40</v>
      </c>
      <c r="R180" s="15" t="s">
        <v>86</v>
      </c>
      <c r="S180" s="24">
        <f>988178.08</f>
        <v>988178.08</v>
      </c>
      <c r="T180" s="15"/>
      <c r="U180" s="7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</row>
    <row r="181" spans="1:148" ht="89.25">
      <c r="A181" s="11" t="s">
        <v>31</v>
      </c>
      <c r="B181" s="12" t="s">
        <v>101</v>
      </c>
      <c r="C181" s="13" t="s">
        <v>33</v>
      </c>
      <c r="D181" s="23">
        <f>300000000</f>
        <v>300000000</v>
      </c>
      <c r="E181" s="13" t="s">
        <v>75</v>
      </c>
      <c r="F181" s="13" t="s">
        <v>102</v>
      </c>
      <c r="G181" s="13" t="s">
        <v>36</v>
      </c>
      <c r="H181" s="13"/>
      <c r="I181" s="13" t="s">
        <v>50</v>
      </c>
      <c r="J181" s="13" t="s">
        <v>99</v>
      </c>
      <c r="K181" s="12" t="s">
        <v>94</v>
      </c>
      <c r="L181" s="13"/>
      <c r="M181" s="13"/>
      <c r="N181" s="13"/>
      <c r="O181" s="23">
        <f>0</f>
        <v>0</v>
      </c>
      <c r="P181" s="23">
        <f>300000000</f>
        <v>300000000</v>
      </c>
      <c r="Q181" s="13" t="s">
        <v>40</v>
      </c>
      <c r="R181" s="13" t="s">
        <v>100</v>
      </c>
      <c r="S181" s="23">
        <f>73360.66</f>
        <v>73360.66</v>
      </c>
      <c r="T181" s="13"/>
      <c r="U181" s="7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</row>
    <row r="182" spans="1:148" ht="15">
      <c r="A182" s="14" t="s">
        <v>32</v>
      </c>
      <c r="B182" s="15"/>
      <c r="C182" s="15"/>
      <c r="D182" s="24">
        <f>0</f>
        <v>0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24">
        <f>0</f>
        <v>0</v>
      </c>
      <c r="P182" s="24">
        <f>0</f>
        <v>0</v>
      </c>
      <c r="Q182" s="15" t="s">
        <v>40</v>
      </c>
      <c r="R182" s="15" t="s">
        <v>51</v>
      </c>
      <c r="S182" s="24">
        <f>2200819.67</f>
        <v>2200819.67</v>
      </c>
      <c r="T182" s="15"/>
      <c r="U182" s="7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</row>
    <row r="183" spans="1:148" ht="15">
      <c r="A183" s="14" t="s">
        <v>32</v>
      </c>
      <c r="B183" s="15"/>
      <c r="C183" s="15"/>
      <c r="D183" s="24">
        <f>0</f>
        <v>0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24">
        <f>0</f>
        <v>0</v>
      </c>
      <c r="P183" s="24">
        <f>0</f>
        <v>0</v>
      </c>
      <c r="Q183" s="15" t="s">
        <v>40</v>
      </c>
      <c r="R183" s="15" t="s">
        <v>52</v>
      </c>
      <c r="S183" s="24">
        <f>2274180.33</f>
        <v>2274180.33</v>
      </c>
      <c r="T183" s="15"/>
      <c r="U183" s="7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</row>
    <row r="184" spans="1:148" ht="15">
      <c r="A184" s="14" t="s">
        <v>32</v>
      </c>
      <c r="B184" s="15"/>
      <c r="C184" s="15"/>
      <c r="D184" s="24">
        <f>0</f>
        <v>0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24">
        <f>0</f>
        <v>0</v>
      </c>
      <c r="P184" s="24">
        <f>0</f>
        <v>0</v>
      </c>
      <c r="Q184" s="15" t="s">
        <v>40</v>
      </c>
      <c r="R184" s="15" t="s">
        <v>53</v>
      </c>
      <c r="S184" s="24">
        <f>2200819.67</f>
        <v>2200819.67</v>
      </c>
      <c r="T184" s="15"/>
      <c r="U184" s="7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</row>
    <row r="185" spans="1:148" ht="15">
      <c r="A185" s="14" t="s">
        <v>32</v>
      </c>
      <c r="B185" s="15"/>
      <c r="C185" s="15"/>
      <c r="D185" s="24">
        <f>0</f>
        <v>0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24">
        <f>0</f>
        <v>0</v>
      </c>
      <c r="P185" s="24">
        <f>0</f>
        <v>0</v>
      </c>
      <c r="Q185" s="15" t="s">
        <v>40</v>
      </c>
      <c r="R185" s="15" t="s">
        <v>54</v>
      </c>
      <c r="S185" s="24">
        <f>2279607</f>
        <v>2279607</v>
      </c>
      <c r="T185" s="15"/>
      <c r="U185" s="7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</row>
    <row r="186" spans="1:148" ht="15">
      <c r="A186" s="14" t="s">
        <v>32</v>
      </c>
      <c r="B186" s="15"/>
      <c r="C186" s="15"/>
      <c r="D186" s="24">
        <f>0</f>
        <v>0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24">
        <f>0</f>
        <v>0</v>
      </c>
      <c r="P186" s="24">
        <f>0</f>
        <v>0</v>
      </c>
      <c r="Q186" s="15" t="s">
        <v>40</v>
      </c>
      <c r="R186" s="15" t="s">
        <v>55</v>
      </c>
      <c r="S186" s="24">
        <f>2280410.96</f>
        <v>2280410.96</v>
      </c>
      <c r="T186" s="15"/>
      <c r="U186" s="7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</row>
    <row r="187" spans="1:148" ht="15">
      <c r="A187" s="14" t="s">
        <v>32</v>
      </c>
      <c r="B187" s="15"/>
      <c r="C187" s="15"/>
      <c r="D187" s="24">
        <f>0</f>
        <v>0</v>
      </c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24">
        <f>0</f>
        <v>0</v>
      </c>
      <c r="P187" s="24">
        <f>0</f>
        <v>0</v>
      </c>
      <c r="Q187" s="15" t="s">
        <v>40</v>
      </c>
      <c r="R187" s="15" t="s">
        <v>56</v>
      </c>
      <c r="S187" s="24">
        <f>2059726.03</f>
        <v>2059726.03</v>
      </c>
      <c r="T187" s="15"/>
      <c r="U187" s="7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</row>
    <row r="188" spans="1:148" ht="15">
      <c r="A188" s="14" t="s">
        <v>32</v>
      </c>
      <c r="B188" s="15"/>
      <c r="C188" s="15"/>
      <c r="D188" s="24">
        <f>0</f>
        <v>0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24">
        <f>0</f>
        <v>0</v>
      </c>
      <c r="P188" s="24">
        <f>0</f>
        <v>0</v>
      </c>
      <c r="Q188" s="15" t="s">
        <v>40</v>
      </c>
      <c r="R188" s="15" t="s">
        <v>57</v>
      </c>
      <c r="S188" s="24">
        <f>2280410.96</f>
        <v>2280410.96</v>
      </c>
      <c r="T188" s="15"/>
      <c r="U188" s="7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</row>
    <row r="189" spans="1:148" ht="15">
      <c r="A189" s="14" t="s">
        <v>32</v>
      </c>
      <c r="B189" s="15"/>
      <c r="C189" s="15"/>
      <c r="D189" s="24">
        <f>0</f>
        <v>0</v>
      </c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24">
        <f>0</f>
        <v>0</v>
      </c>
      <c r="P189" s="24">
        <f>0</f>
        <v>0</v>
      </c>
      <c r="Q189" s="15" t="s">
        <v>40</v>
      </c>
      <c r="R189" s="15" t="s">
        <v>58</v>
      </c>
      <c r="S189" s="24">
        <f>2206849.32</f>
        <v>2206849.32</v>
      </c>
      <c r="T189" s="15"/>
      <c r="U189" s="7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</row>
    <row r="190" spans="1:148" ht="15">
      <c r="A190" s="14" t="s">
        <v>32</v>
      </c>
      <c r="B190" s="15"/>
      <c r="C190" s="15"/>
      <c r="D190" s="24">
        <f>0</f>
        <v>0</v>
      </c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24">
        <f>0</f>
        <v>0</v>
      </c>
      <c r="P190" s="24">
        <f>0</f>
        <v>0</v>
      </c>
      <c r="Q190" s="15" t="s">
        <v>40</v>
      </c>
      <c r="R190" s="15" t="s">
        <v>72</v>
      </c>
      <c r="S190" s="24">
        <f>2280410.96</f>
        <v>2280410.96</v>
      </c>
      <c r="T190" s="15"/>
      <c r="U190" s="7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</row>
    <row r="191" spans="1:148" ht="15">
      <c r="A191" s="14" t="s">
        <v>32</v>
      </c>
      <c r="B191" s="15"/>
      <c r="C191" s="15"/>
      <c r="D191" s="24">
        <f>0</f>
        <v>0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24">
        <f>0</f>
        <v>0</v>
      </c>
      <c r="P191" s="24">
        <f>0</f>
        <v>0</v>
      </c>
      <c r="Q191" s="15" t="s">
        <v>40</v>
      </c>
      <c r="R191" s="15" t="s">
        <v>84</v>
      </c>
      <c r="S191" s="24">
        <f>2206849.32</f>
        <v>2206849.32</v>
      </c>
      <c r="T191" s="15"/>
      <c r="U191" s="7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</row>
    <row r="192" spans="1:148" ht="15">
      <c r="A192" s="14" t="s">
        <v>32</v>
      </c>
      <c r="B192" s="15"/>
      <c r="C192" s="15"/>
      <c r="D192" s="24">
        <f>0</f>
        <v>0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24">
        <f>0</f>
        <v>0</v>
      </c>
      <c r="P192" s="24">
        <f>0</f>
        <v>0</v>
      </c>
      <c r="Q192" s="15" t="s">
        <v>40</v>
      </c>
      <c r="R192" s="15" t="s">
        <v>85</v>
      </c>
      <c r="S192" s="24">
        <f>2280410.96</f>
        <v>2280410.96</v>
      </c>
      <c r="T192" s="15"/>
      <c r="U192" s="7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</row>
    <row r="193" spans="1:148" ht="15">
      <c r="A193" s="14" t="s">
        <v>32</v>
      </c>
      <c r="B193" s="15"/>
      <c r="C193" s="15"/>
      <c r="D193" s="24">
        <f>0</f>
        <v>0</v>
      </c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24">
        <f>0</f>
        <v>0</v>
      </c>
      <c r="P193" s="24">
        <f>0</f>
        <v>0</v>
      </c>
      <c r="Q193" s="15" t="s">
        <v>40</v>
      </c>
      <c r="R193" s="15" t="s">
        <v>86</v>
      </c>
      <c r="S193" s="24">
        <f>2280410.96</f>
        <v>2280410.96</v>
      </c>
      <c r="T193" s="15"/>
      <c r="U193" s="7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</row>
    <row r="194" spans="1:148" ht="89.25">
      <c r="A194" s="11" t="s">
        <v>31</v>
      </c>
      <c r="B194" s="12" t="s">
        <v>103</v>
      </c>
      <c r="C194" s="13" t="s">
        <v>104</v>
      </c>
      <c r="D194" s="23">
        <f>330000000</f>
        <v>330000000</v>
      </c>
      <c r="E194" s="13" t="s">
        <v>75</v>
      </c>
      <c r="F194" s="13" t="s">
        <v>105</v>
      </c>
      <c r="G194" s="13" t="s">
        <v>36</v>
      </c>
      <c r="H194" s="13"/>
      <c r="I194" s="13" t="s">
        <v>50</v>
      </c>
      <c r="J194" s="13" t="s">
        <v>99</v>
      </c>
      <c r="K194" s="12" t="s">
        <v>106</v>
      </c>
      <c r="L194" s="13"/>
      <c r="M194" s="13"/>
      <c r="N194" s="13"/>
      <c r="O194" s="23">
        <f>0</f>
        <v>0</v>
      </c>
      <c r="P194" s="23">
        <f>330000000</f>
        <v>330000000</v>
      </c>
      <c r="Q194" s="13" t="s">
        <v>40</v>
      </c>
      <c r="R194" s="13" t="s">
        <v>107</v>
      </c>
      <c r="S194" s="23">
        <f>161213.11</f>
        <v>161213.11</v>
      </c>
      <c r="T194" s="13"/>
      <c r="U194" s="7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</row>
    <row r="195" spans="1:148" ht="15">
      <c r="A195" s="14" t="s">
        <v>32</v>
      </c>
      <c r="B195" s="15"/>
      <c r="C195" s="15"/>
      <c r="D195" s="24">
        <f>0</f>
        <v>0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24">
        <f>0</f>
        <v>0</v>
      </c>
      <c r="P195" s="24">
        <f>0</f>
        <v>0</v>
      </c>
      <c r="Q195" s="15" t="s">
        <v>40</v>
      </c>
      <c r="R195" s="15" t="s">
        <v>108</v>
      </c>
      <c r="S195" s="24">
        <f>1773344.27</f>
        <v>1773344.27</v>
      </c>
      <c r="T195" s="15"/>
      <c r="U195" s="7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</row>
    <row r="196" spans="1:148" ht="15">
      <c r="A196" s="14" t="s">
        <v>32</v>
      </c>
      <c r="B196" s="15"/>
      <c r="C196" s="15"/>
      <c r="D196" s="24">
        <f>0</f>
        <v>0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24">
        <f>0</f>
        <v>0</v>
      </c>
      <c r="P196" s="24">
        <f>0</f>
        <v>0</v>
      </c>
      <c r="Q196" s="15" t="s">
        <v>40</v>
      </c>
      <c r="R196" s="15" t="s">
        <v>109</v>
      </c>
      <c r="S196" s="24">
        <f>2498803.28</f>
        <v>2498803.28</v>
      </c>
      <c r="T196" s="15"/>
      <c r="U196" s="7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</row>
    <row r="197" spans="1:148" ht="15">
      <c r="A197" s="14" t="s">
        <v>32</v>
      </c>
      <c r="B197" s="15"/>
      <c r="C197" s="15"/>
      <c r="D197" s="24">
        <f>0</f>
        <v>0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24">
        <f>0</f>
        <v>0</v>
      </c>
      <c r="P197" s="24">
        <f>0</f>
        <v>0</v>
      </c>
      <c r="Q197" s="15" t="s">
        <v>40</v>
      </c>
      <c r="R197" s="15" t="s">
        <v>110</v>
      </c>
      <c r="S197" s="24">
        <f>2418196.72</f>
        <v>2418196.72</v>
      </c>
      <c r="T197" s="15"/>
      <c r="U197" s="7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</row>
    <row r="198" spans="1:148" ht="15">
      <c r="A198" s="14" t="s">
        <v>32</v>
      </c>
      <c r="B198" s="15"/>
      <c r="C198" s="15"/>
      <c r="D198" s="24">
        <f>0</f>
        <v>0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24">
        <f>0</f>
        <v>0</v>
      </c>
      <c r="P198" s="24">
        <f>0</f>
        <v>0</v>
      </c>
      <c r="Q198" s="15" t="s">
        <v>40</v>
      </c>
      <c r="R198" s="15" t="s">
        <v>111</v>
      </c>
      <c r="S198" s="24">
        <f>2503220.08</f>
        <v>2503220.08</v>
      </c>
      <c r="T198" s="15"/>
      <c r="U198" s="7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</row>
    <row r="199" spans="1:148" ht="15">
      <c r="A199" s="14" t="s">
        <v>32</v>
      </c>
      <c r="B199" s="15"/>
      <c r="C199" s="15"/>
      <c r="D199" s="24">
        <f>0</f>
        <v>0</v>
      </c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24">
        <f>0</f>
        <v>0</v>
      </c>
      <c r="P199" s="24">
        <f>0</f>
        <v>0</v>
      </c>
      <c r="Q199" s="15" t="s">
        <v>40</v>
      </c>
      <c r="R199" s="15" t="s">
        <v>112</v>
      </c>
      <c r="S199" s="24">
        <f>2505649.32</f>
        <v>2505649.32</v>
      </c>
      <c r="T199" s="15"/>
      <c r="U199" s="7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</row>
    <row r="200" spans="1:148" ht="15">
      <c r="A200" s="14" t="s">
        <v>32</v>
      </c>
      <c r="B200" s="15"/>
      <c r="C200" s="15"/>
      <c r="D200" s="24">
        <f>0</f>
        <v>0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24">
        <f>0</f>
        <v>0</v>
      </c>
      <c r="P200" s="24">
        <f>0</f>
        <v>0</v>
      </c>
      <c r="Q200" s="15" t="s">
        <v>40</v>
      </c>
      <c r="R200" s="15" t="s">
        <v>113</v>
      </c>
      <c r="S200" s="24">
        <f>2263167.13</f>
        <v>2263167.13</v>
      </c>
      <c r="T200" s="15"/>
      <c r="U200" s="7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</row>
    <row r="201" spans="1:148" ht="15">
      <c r="A201" s="14" t="s">
        <v>32</v>
      </c>
      <c r="B201" s="15"/>
      <c r="C201" s="15"/>
      <c r="D201" s="24">
        <f>0</f>
        <v>0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24">
        <f>0</f>
        <v>0</v>
      </c>
      <c r="P201" s="24">
        <f>0</f>
        <v>0</v>
      </c>
      <c r="Q201" s="15" t="s">
        <v>40</v>
      </c>
      <c r="R201" s="15" t="s">
        <v>114</v>
      </c>
      <c r="S201" s="24">
        <f>2505649.32</f>
        <v>2505649.32</v>
      </c>
      <c r="T201" s="15"/>
      <c r="U201" s="7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</row>
    <row r="202" spans="1:148" ht="15">
      <c r="A202" s="14" t="s">
        <v>32</v>
      </c>
      <c r="B202" s="15"/>
      <c r="C202" s="15"/>
      <c r="D202" s="24">
        <f>0</f>
        <v>0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24">
        <f>0</f>
        <v>0</v>
      </c>
      <c r="P202" s="24">
        <f>0</f>
        <v>0</v>
      </c>
      <c r="Q202" s="15" t="s">
        <v>40</v>
      </c>
      <c r="R202" s="15" t="s">
        <v>115</v>
      </c>
      <c r="S202" s="24">
        <f>2424821.92</f>
        <v>2424821.92</v>
      </c>
      <c r="T202" s="15"/>
      <c r="U202" s="7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</row>
    <row r="203" spans="1:148" ht="15">
      <c r="A203" s="14" t="s">
        <v>32</v>
      </c>
      <c r="B203" s="15"/>
      <c r="C203" s="15"/>
      <c r="D203" s="24">
        <f>0</f>
        <v>0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24">
        <f>0</f>
        <v>0</v>
      </c>
      <c r="P203" s="24">
        <f>0</f>
        <v>0</v>
      </c>
      <c r="Q203" s="15" t="s">
        <v>40</v>
      </c>
      <c r="R203" s="15" t="s">
        <v>116</v>
      </c>
      <c r="S203" s="24">
        <f>2505649.32</f>
        <v>2505649.32</v>
      </c>
      <c r="T203" s="15"/>
      <c r="U203" s="7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</row>
    <row r="204" spans="1:148" ht="15">
      <c r="A204" s="14" t="s">
        <v>32</v>
      </c>
      <c r="B204" s="15"/>
      <c r="C204" s="15"/>
      <c r="D204" s="24">
        <f>0</f>
        <v>0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24">
        <f>0</f>
        <v>0</v>
      </c>
      <c r="P204" s="24">
        <f>0</f>
        <v>0</v>
      </c>
      <c r="Q204" s="15" t="s">
        <v>40</v>
      </c>
      <c r="R204" s="15" t="s">
        <v>117</v>
      </c>
      <c r="S204" s="24">
        <f>2424821.92</f>
        <v>2424821.92</v>
      </c>
      <c r="T204" s="15"/>
      <c r="U204" s="7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</row>
    <row r="205" spans="1:148" ht="15">
      <c r="A205" s="14" t="s">
        <v>32</v>
      </c>
      <c r="B205" s="15"/>
      <c r="C205" s="15"/>
      <c r="D205" s="24">
        <f>0</f>
        <v>0</v>
      </c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24">
        <f>0</f>
        <v>0</v>
      </c>
      <c r="P205" s="24">
        <f>0</f>
        <v>0</v>
      </c>
      <c r="Q205" s="15" t="s">
        <v>40</v>
      </c>
      <c r="R205" s="15" t="s">
        <v>118</v>
      </c>
      <c r="S205" s="24">
        <f>2505649.32</f>
        <v>2505649.32</v>
      </c>
      <c r="T205" s="15"/>
      <c r="U205" s="7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</row>
    <row r="206" spans="1:148" ht="15">
      <c r="A206" s="14" t="s">
        <v>32</v>
      </c>
      <c r="B206" s="15"/>
      <c r="C206" s="15"/>
      <c r="D206" s="24">
        <f>0</f>
        <v>0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24">
        <f>0</f>
        <v>0</v>
      </c>
      <c r="P206" s="24">
        <f>0</f>
        <v>0</v>
      </c>
      <c r="Q206" s="15" t="s">
        <v>40</v>
      </c>
      <c r="R206" s="15" t="s">
        <v>119</v>
      </c>
      <c r="S206" s="24">
        <f>2505649.32</f>
        <v>2505649.32</v>
      </c>
      <c r="T206" s="15"/>
      <c r="U206" s="7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</row>
    <row r="207" spans="1:148" ht="89.25">
      <c r="A207" s="11" t="s">
        <v>31</v>
      </c>
      <c r="B207" s="12" t="s">
        <v>120</v>
      </c>
      <c r="C207" s="13" t="s">
        <v>104</v>
      </c>
      <c r="D207" s="23">
        <f>330000000</f>
        <v>330000000</v>
      </c>
      <c r="E207" s="13" t="s">
        <v>75</v>
      </c>
      <c r="F207" s="13" t="s">
        <v>121</v>
      </c>
      <c r="G207" s="13" t="s">
        <v>36</v>
      </c>
      <c r="H207" s="13"/>
      <c r="I207" s="13" t="s">
        <v>50</v>
      </c>
      <c r="J207" s="13" t="s">
        <v>99</v>
      </c>
      <c r="K207" s="12" t="s">
        <v>106</v>
      </c>
      <c r="L207" s="13"/>
      <c r="M207" s="13"/>
      <c r="N207" s="13"/>
      <c r="O207" s="23">
        <f>0</f>
        <v>0</v>
      </c>
      <c r="P207" s="23">
        <f>330000000</f>
        <v>330000000</v>
      </c>
      <c r="Q207" s="13" t="s">
        <v>40</v>
      </c>
      <c r="R207" s="13" t="s">
        <v>107</v>
      </c>
      <c r="S207" s="23">
        <f>161213.11</f>
        <v>161213.11</v>
      </c>
      <c r="T207" s="13"/>
      <c r="U207" s="7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</row>
    <row r="208" spans="1:148" ht="15">
      <c r="A208" s="14" t="s">
        <v>32</v>
      </c>
      <c r="B208" s="15"/>
      <c r="C208" s="15"/>
      <c r="D208" s="24">
        <f>0</f>
        <v>0</v>
      </c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24">
        <f>0</f>
        <v>0</v>
      </c>
      <c r="P208" s="24">
        <f>0</f>
        <v>0</v>
      </c>
      <c r="Q208" s="15" t="s">
        <v>40</v>
      </c>
      <c r="R208" s="15" t="s">
        <v>108</v>
      </c>
      <c r="S208" s="24">
        <f>1773344.27</f>
        <v>1773344.27</v>
      </c>
      <c r="T208" s="15"/>
      <c r="U208" s="7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</row>
    <row r="209" spans="1:148" ht="15">
      <c r="A209" s="14" t="s">
        <v>32</v>
      </c>
      <c r="B209" s="15"/>
      <c r="C209" s="15"/>
      <c r="D209" s="24">
        <f>0</f>
        <v>0</v>
      </c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24">
        <f>0</f>
        <v>0</v>
      </c>
      <c r="P209" s="24">
        <f>0</f>
        <v>0</v>
      </c>
      <c r="Q209" s="15" t="s">
        <v>40</v>
      </c>
      <c r="R209" s="15" t="s">
        <v>109</v>
      </c>
      <c r="S209" s="24">
        <f>2498803.28</f>
        <v>2498803.28</v>
      </c>
      <c r="T209" s="15"/>
      <c r="U209" s="7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</row>
    <row r="210" spans="1:148" ht="15">
      <c r="A210" s="14" t="s">
        <v>32</v>
      </c>
      <c r="B210" s="15"/>
      <c r="C210" s="15"/>
      <c r="D210" s="24">
        <f>0</f>
        <v>0</v>
      </c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24">
        <f>0</f>
        <v>0</v>
      </c>
      <c r="P210" s="24">
        <f>0</f>
        <v>0</v>
      </c>
      <c r="Q210" s="15" t="s">
        <v>40</v>
      </c>
      <c r="R210" s="15" t="s">
        <v>110</v>
      </c>
      <c r="S210" s="24">
        <f>2418196.72</f>
        <v>2418196.72</v>
      </c>
      <c r="T210" s="15"/>
      <c r="U210" s="7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</row>
    <row r="211" spans="1:148" ht="15">
      <c r="A211" s="14" t="s">
        <v>32</v>
      </c>
      <c r="B211" s="15"/>
      <c r="C211" s="15"/>
      <c r="D211" s="24">
        <f>0</f>
        <v>0</v>
      </c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24">
        <f>0</f>
        <v>0</v>
      </c>
      <c r="P211" s="24">
        <f>0</f>
        <v>0</v>
      </c>
      <c r="Q211" s="15" t="s">
        <v>40</v>
      </c>
      <c r="R211" s="15" t="s">
        <v>111</v>
      </c>
      <c r="S211" s="24">
        <f>2503220.08</f>
        <v>2503220.08</v>
      </c>
      <c r="T211" s="15"/>
      <c r="U211" s="7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</row>
    <row r="212" spans="1:148" ht="15">
      <c r="A212" s="14" t="s">
        <v>32</v>
      </c>
      <c r="B212" s="15"/>
      <c r="C212" s="15"/>
      <c r="D212" s="24">
        <f>0</f>
        <v>0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24">
        <f>0</f>
        <v>0</v>
      </c>
      <c r="P212" s="24">
        <f>0</f>
        <v>0</v>
      </c>
      <c r="Q212" s="15" t="s">
        <v>40</v>
      </c>
      <c r="R212" s="15" t="s">
        <v>112</v>
      </c>
      <c r="S212" s="24">
        <f>2505649.32</f>
        <v>2505649.32</v>
      </c>
      <c r="T212" s="15"/>
      <c r="U212" s="7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</row>
    <row r="213" spans="1:148" ht="15">
      <c r="A213" s="14" t="s">
        <v>32</v>
      </c>
      <c r="B213" s="15"/>
      <c r="C213" s="15"/>
      <c r="D213" s="24">
        <f>0</f>
        <v>0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24">
        <f>0</f>
        <v>0</v>
      </c>
      <c r="P213" s="24">
        <f>0</f>
        <v>0</v>
      </c>
      <c r="Q213" s="15" t="s">
        <v>40</v>
      </c>
      <c r="R213" s="15" t="s">
        <v>113</v>
      </c>
      <c r="S213" s="24">
        <f>2263167.13</f>
        <v>2263167.13</v>
      </c>
      <c r="T213" s="15"/>
      <c r="U213" s="7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</row>
    <row r="214" spans="1:148" ht="15">
      <c r="A214" s="14" t="s">
        <v>32</v>
      </c>
      <c r="B214" s="15"/>
      <c r="C214" s="15"/>
      <c r="D214" s="24">
        <f>0</f>
        <v>0</v>
      </c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24">
        <f>0</f>
        <v>0</v>
      </c>
      <c r="P214" s="24">
        <f>0</f>
        <v>0</v>
      </c>
      <c r="Q214" s="15" t="s">
        <v>40</v>
      </c>
      <c r="R214" s="15" t="s">
        <v>114</v>
      </c>
      <c r="S214" s="24">
        <f>2505649.32</f>
        <v>2505649.32</v>
      </c>
      <c r="T214" s="15"/>
      <c r="U214" s="7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</row>
    <row r="215" spans="1:148" ht="15">
      <c r="A215" s="14" t="s">
        <v>32</v>
      </c>
      <c r="B215" s="15"/>
      <c r="C215" s="15"/>
      <c r="D215" s="24">
        <f>0</f>
        <v>0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24">
        <f>0</f>
        <v>0</v>
      </c>
      <c r="P215" s="24">
        <f>0</f>
        <v>0</v>
      </c>
      <c r="Q215" s="15" t="s">
        <v>40</v>
      </c>
      <c r="R215" s="15" t="s">
        <v>115</v>
      </c>
      <c r="S215" s="24">
        <f>2424821.92</f>
        <v>2424821.92</v>
      </c>
      <c r="T215" s="15"/>
      <c r="U215" s="7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</row>
    <row r="216" spans="1:148" ht="15">
      <c r="A216" s="14" t="s">
        <v>32</v>
      </c>
      <c r="B216" s="15"/>
      <c r="C216" s="15"/>
      <c r="D216" s="24">
        <f>0</f>
        <v>0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24">
        <f>0</f>
        <v>0</v>
      </c>
      <c r="P216" s="24">
        <f>0</f>
        <v>0</v>
      </c>
      <c r="Q216" s="15" t="s">
        <v>40</v>
      </c>
      <c r="R216" s="15" t="s">
        <v>116</v>
      </c>
      <c r="S216" s="24">
        <f>2505649.32</f>
        <v>2505649.32</v>
      </c>
      <c r="T216" s="15"/>
      <c r="U216" s="7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</row>
    <row r="217" spans="1:148" ht="15">
      <c r="A217" s="14" t="s">
        <v>32</v>
      </c>
      <c r="B217" s="15"/>
      <c r="C217" s="15"/>
      <c r="D217" s="24">
        <f>0</f>
        <v>0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24">
        <f>0</f>
        <v>0</v>
      </c>
      <c r="P217" s="24">
        <f>0</f>
        <v>0</v>
      </c>
      <c r="Q217" s="15" t="s">
        <v>40</v>
      </c>
      <c r="R217" s="15" t="s">
        <v>117</v>
      </c>
      <c r="S217" s="24">
        <f>2424821.92</f>
        <v>2424821.92</v>
      </c>
      <c r="T217" s="15"/>
      <c r="U217" s="7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</row>
    <row r="218" spans="1:148" ht="15">
      <c r="A218" s="14" t="s">
        <v>32</v>
      </c>
      <c r="B218" s="15"/>
      <c r="C218" s="15"/>
      <c r="D218" s="24">
        <f>0</f>
        <v>0</v>
      </c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24">
        <f>0</f>
        <v>0</v>
      </c>
      <c r="P218" s="24">
        <f>0</f>
        <v>0</v>
      </c>
      <c r="Q218" s="15" t="s">
        <v>40</v>
      </c>
      <c r="R218" s="15" t="s">
        <v>118</v>
      </c>
      <c r="S218" s="24">
        <f>2505649.32</f>
        <v>2505649.32</v>
      </c>
      <c r="T218" s="15"/>
      <c r="U218" s="7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</row>
    <row r="219" spans="1:148" ht="15">
      <c r="A219" s="14" t="s">
        <v>32</v>
      </c>
      <c r="B219" s="15"/>
      <c r="C219" s="15"/>
      <c r="D219" s="24">
        <f>0</f>
        <v>0</v>
      </c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24">
        <f>0</f>
        <v>0</v>
      </c>
      <c r="P219" s="24">
        <f>0</f>
        <v>0</v>
      </c>
      <c r="Q219" s="15" t="s">
        <v>40</v>
      </c>
      <c r="R219" s="15" t="s">
        <v>119</v>
      </c>
      <c r="S219" s="24">
        <f>2505649.32</f>
        <v>2505649.32</v>
      </c>
      <c r="T219" s="15"/>
      <c r="U219" s="7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</row>
    <row r="220" spans="1:148" ht="89.25">
      <c r="A220" s="11" t="s">
        <v>31</v>
      </c>
      <c r="B220" s="12" t="s">
        <v>122</v>
      </c>
      <c r="C220" s="13" t="s">
        <v>104</v>
      </c>
      <c r="D220" s="23">
        <f>330000000</f>
        <v>330000000</v>
      </c>
      <c r="E220" s="13" t="s">
        <v>75</v>
      </c>
      <c r="F220" s="13" t="s">
        <v>123</v>
      </c>
      <c r="G220" s="13" t="s">
        <v>36</v>
      </c>
      <c r="H220" s="13"/>
      <c r="I220" s="13" t="s">
        <v>50</v>
      </c>
      <c r="J220" s="13" t="s">
        <v>99</v>
      </c>
      <c r="K220" s="12" t="s">
        <v>106</v>
      </c>
      <c r="L220" s="13"/>
      <c r="M220" s="13"/>
      <c r="N220" s="13"/>
      <c r="O220" s="23">
        <f>0</f>
        <v>0</v>
      </c>
      <c r="P220" s="23">
        <f>330000000</f>
        <v>330000000</v>
      </c>
      <c r="Q220" s="13" t="s">
        <v>40</v>
      </c>
      <c r="R220" s="13" t="s">
        <v>107</v>
      </c>
      <c r="S220" s="23">
        <f>161213.11</f>
        <v>161213.11</v>
      </c>
      <c r="T220" s="13"/>
      <c r="U220" s="7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</row>
    <row r="221" spans="1:148" ht="15">
      <c r="A221" s="14" t="s">
        <v>32</v>
      </c>
      <c r="B221" s="15"/>
      <c r="C221" s="15"/>
      <c r="D221" s="24">
        <f>0</f>
        <v>0</v>
      </c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24">
        <f>0</f>
        <v>0</v>
      </c>
      <c r="P221" s="24">
        <f>0</f>
        <v>0</v>
      </c>
      <c r="Q221" s="15" t="s">
        <v>40</v>
      </c>
      <c r="R221" s="15" t="s">
        <v>108</v>
      </c>
      <c r="S221" s="24">
        <f>1773344.27</f>
        <v>1773344.27</v>
      </c>
      <c r="T221" s="15"/>
      <c r="U221" s="7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</row>
    <row r="222" spans="1:148" ht="15">
      <c r="A222" s="14" t="s">
        <v>32</v>
      </c>
      <c r="B222" s="15"/>
      <c r="C222" s="15"/>
      <c r="D222" s="24">
        <f>0</f>
        <v>0</v>
      </c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24">
        <f>0</f>
        <v>0</v>
      </c>
      <c r="P222" s="24">
        <f>0</f>
        <v>0</v>
      </c>
      <c r="Q222" s="15" t="s">
        <v>40</v>
      </c>
      <c r="R222" s="15" t="s">
        <v>109</v>
      </c>
      <c r="S222" s="24">
        <f>2498803.28</f>
        <v>2498803.28</v>
      </c>
      <c r="T222" s="15"/>
      <c r="U222" s="7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</row>
    <row r="223" spans="1:148" ht="15">
      <c r="A223" s="14" t="s">
        <v>32</v>
      </c>
      <c r="B223" s="15"/>
      <c r="C223" s="15"/>
      <c r="D223" s="24">
        <f>0</f>
        <v>0</v>
      </c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24">
        <f>0</f>
        <v>0</v>
      </c>
      <c r="P223" s="24">
        <f>0</f>
        <v>0</v>
      </c>
      <c r="Q223" s="15" t="s">
        <v>40</v>
      </c>
      <c r="R223" s="15" t="s">
        <v>110</v>
      </c>
      <c r="S223" s="24">
        <f>2418196.72</f>
        <v>2418196.72</v>
      </c>
      <c r="T223" s="15"/>
      <c r="U223" s="7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</row>
    <row r="224" spans="1:148" ht="15">
      <c r="A224" s="14" t="s">
        <v>32</v>
      </c>
      <c r="B224" s="15"/>
      <c r="C224" s="15"/>
      <c r="D224" s="24">
        <f>0</f>
        <v>0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24">
        <f>0</f>
        <v>0</v>
      </c>
      <c r="P224" s="24">
        <f>0</f>
        <v>0</v>
      </c>
      <c r="Q224" s="15" t="s">
        <v>40</v>
      </c>
      <c r="R224" s="15" t="s">
        <v>111</v>
      </c>
      <c r="S224" s="24">
        <f>2503220.08</f>
        <v>2503220.08</v>
      </c>
      <c r="T224" s="15"/>
      <c r="U224" s="7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</row>
    <row r="225" spans="1:148" ht="15">
      <c r="A225" s="14" t="s">
        <v>32</v>
      </c>
      <c r="B225" s="15"/>
      <c r="C225" s="15"/>
      <c r="D225" s="24">
        <f>0</f>
        <v>0</v>
      </c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24">
        <f>0</f>
        <v>0</v>
      </c>
      <c r="P225" s="24">
        <f>0</f>
        <v>0</v>
      </c>
      <c r="Q225" s="15" t="s">
        <v>40</v>
      </c>
      <c r="R225" s="15" t="s">
        <v>112</v>
      </c>
      <c r="S225" s="24">
        <f>2505649.32</f>
        <v>2505649.32</v>
      </c>
      <c r="T225" s="15"/>
      <c r="U225" s="7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</row>
    <row r="226" spans="1:148" ht="15">
      <c r="A226" s="14" t="s">
        <v>32</v>
      </c>
      <c r="B226" s="15"/>
      <c r="C226" s="15"/>
      <c r="D226" s="24">
        <f>0</f>
        <v>0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24">
        <f>0</f>
        <v>0</v>
      </c>
      <c r="P226" s="24">
        <f>0</f>
        <v>0</v>
      </c>
      <c r="Q226" s="15" t="s">
        <v>40</v>
      </c>
      <c r="R226" s="15" t="s">
        <v>113</v>
      </c>
      <c r="S226" s="24">
        <f>2263167.13</f>
        <v>2263167.13</v>
      </c>
      <c r="T226" s="15"/>
      <c r="U226" s="7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</row>
    <row r="227" spans="1:148" ht="15">
      <c r="A227" s="14" t="s">
        <v>32</v>
      </c>
      <c r="B227" s="15"/>
      <c r="C227" s="15"/>
      <c r="D227" s="24">
        <f>0</f>
        <v>0</v>
      </c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24">
        <f>0</f>
        <v>0</v>
      </c>
      <c r="P227" s="24">
        <f>0</f>
        <v>0</v>
      </c>
      <c r="Q227" s="15" t="s">
        <v>40</v>
      </c>
      <c r="R227" s="15" t="s">
        <v>114</v>
      </c>
      <c r="S227" s="24">
        <f>2505649.32</f>
        <v>2505649.32</v>
      </c>
      <c r="T227" s="15"/>
      <c r="U227" s="7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</row>
    <row r="228" spans="1:148" ht="15">
      <c r="A228" s="14" t="s">
        <v>32</v>
      </c>
      <c r="B228" s="15"/>
      <c r="C228" s="15"/>
      <c r="D228" s="24">
        <f>0</f>
        <v>0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24">
        <f>0</f>
        <v>0</v>
      </c>
      <c r="P228" s="24">
        <f>0</f>
        <v>0</v>
      </c>
      <c r="Q228" s="15" t="s">
        <v>40</v>
      </c>
      <c r="R228" s="15" t="s">
        <v>115</v>
      </c>
      <c r="S228" s="24">
        <f>2424821.92</f>
        <v>2424821.92</v>
      </c>
      <c r="T228" s="15"/>
      <c r="U228" s="7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</row>
    <row r="229" spans="1:148" ht="15">
      <c r="A229" s="14" t="s">
        <v>32</v>
      </c>
      <c r="B229" s="15"/>
      <c r="C229" s="15"/>
      <c r="D229" s="24">
        <f>0</f>
        <v>0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24">
        <f>0</f>
        <v>0</v>
      </c>
      <c r="P229" s="24">
        <f>0</f>
        <v>0</v>
      </c>
      <c r="Q229" s="15" t="s">
        <v>40</v>
      </c>
      <c r="R229" s="15" t="s">
        <v>116</v>
      </c>
      <c r="S229" s="24">
        <f>2505649.32</f>
        <v>2505649.32</v>
      </c>
      <c r="T229" s="15"/>
      <c r="U229" s="7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</row>
    <row r="230" spans="1:148" ht="15">
      <c r="A230" s="14" t="s">
        <v>32</v>
      </c>
      <c r="B230" s="15"/>
      <c r="C230" s="15"/>
      <c r="D230" s="24">
        <f>0</f>
        <v>0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24">
        <f>0</f>
        <v>0</v>
      </c>
      <c r="P230" s="24">
        <f>0</f>
        <v>0</v>
      </c>
      <c r="Q230" s="15" t="s">
        <v>40</v>
      </c>
      <c r="R230" s="15" t="s">
        <v>117</v>
      </c>
      <c r="S230" s="24">
        <f>2424821.92</f>
        <v>2424821.92</v>
      </c>
      <c r="T230" s="15"/>
      <c r="U230" s="7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</row>
    <row r="231" spans="1:148" ht="15">
      <c r="A231" s="14" t="s">
        <v>32</v>
      </c>
      <c r="B231" s="15"/>
      <c r="C231" s="15"/>
      <c r="D231" s="24">
        <f>0</f>
        <v>0</v>
      </c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24">
        <f>0</f>
        <v>0</v>
      </c>
      <c r="P231" s="24">
        <f>0</f>
        <v>0</v>
      </c>
      <c r="Q231" s="15" t="s">
        <v>40</v>
      </c>
      <c r="R231" s="15" t="s">
        <v>118</v>
      </c>
      <c r="S231" s="24">
        <f>2505649.32</f>
        <v>2505649.32</v>
      </c>
      <c r="T231" s="15"/>
      <c r="U231" s="7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</row>
    <row r="232" spans="1:148" ht="15">
      <c r="A232" s="14" t="s">
        <v>32</v>
      </c>
      <c r="B232" s="15"/>
      <c r="C232" s="15"/>
      <c r="D232" s="24">
        <f>0</f>
        <v>0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24">
        <f>0</f>
        <v>0</v>
      </c>
      <c r="P232" s="24">
        <f>0</f>
        <v>0</v>
      </c>
      <c r="Q232" s="15" t="s">
        <v>40</v>
      </c>
      <c r="R232" s="15" t="s">
        <v>119</v>
      </c>
      <c r="S232" s="24">
        <f>2505649.32</f>
        <v>2505649.32</v>
      </c>
      <c r="T232" s="15"/>
      <c r="U232" s="7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</row>
    <row r="233" spans="1:148" ht="89.25">
      <c r="A233" s="11" t="s">
        <v>31</v>
      </c>
      <c r="B233" s="12" t="s">
        <v>124</v>
      </c>
      <c r="C233" s="13" t="s">
        <v>104</v>
      </c>
      <c r="D233" s="23">
        <f>20000000</f>
        <v>20000000</v>
      </c>
      <c r="E233" s="13" t="s">
        <v>75</v>
      </c>
      <c r="F233" s="13" t="s">
        <v>125</v>
      </c>
      <c r="G233" s="13" t="s">
        <v>36</v>
      </c>
      <c r="H233" s="13"/>
      <c r="I233" s="13" t="s">
        <v>50</v>
      </c>
      <c r="J233" s="13" t="s">
        <v>99</v>
      </c>
      <c r="K233" s="12" t="s">
        <v>106</v>
      </c>
      <c r="L233" s="13"/>
      <c r="M233" s="13"/>
      <c r="N233" s="13"/>
      <c r="O233" s="23">
        <f>0</f>
        <v>0</v>
      </c>
      <c r="P233" s="23">
        <f>20000000</f>
        <v>20000000</v>
      </c>
      <c r="Q233" s="13" t="s">
        <v>40</v>
      </c>
      <c r="R233" s="13" t="s">
        <v>107</v>
      </c>
      <c r="S233" s="23">
        <f>9770.49</f>
        <v>9770.49</v>
      </c>
      <c r="T233" s="13"/>
      <c r="U233" s="7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</row>
    <row r="234" spans="1:148" ht="15">
      <c r="A234" s="14" t="s">
        <v>32</v>
      </c>
      <c r="B234" s="15"/>
      <c r="C234" s="15"/>
      <c r="D234" s="24">
        <f>0</f>
        <v>0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24">
        <f>0</f>
        <v>0</v>
      </c>
      <c r="P234" s="24">
        <f>0</f>
        <v>0</v>
      </c>
      <c r="Q234" s="15" t="s">
        <v>40</v>
      </c>
      <c r="R234" s="15" t="s">
        <v>108</v>
      </c>
      <c r="S234" s="24">
        <f>107475.41</f>
        <v>107475.41</v>
      </c>
      <c r="T234" s="15"/>
      <c r="U234" s="7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</row>
    <row r="235" spans="1:148" ht="15">
      <c r="A235" s="14" t="s">
        <v>32</v>
      </c>
      <c r="B235" s="15"/>
      <c r="C235" s="15"/>
      <c r="D235" s="24">
        <f>0</f>
        <v>0</v>
      </c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24">
        <f>0</f>
        <v>0</v>
      </c>
      <c r="P235" s="24">
        <f>0</f>
        <v>0</v>
      </c>
      <c r="Q235" s="15" t="s">
        <v>40</v>
      </c>
      <c r="R235" s="15" t="s">
        <v>109</v>
      </c>
      <c r="S235" s="24">
        <f>151442.62</f>
        <v>151442.62</v>
      </c>
      <c r="T235" s="15"/>
      <c r="U235" s="7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</row>
    <row r="236" spans="1:148" ht="15">
      <c r="A236" s="14" t="s">
        <v>32</v>
      </c>
      <c r="B236" s="15"/>
      <c r="C236" s="15"/>
      <c r="D236" s="24">
        <f>0</f>
        <v>0</v>
      </c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24">
        <f>0</f>
        <v>0</v>
      </c>
      <c r="P236" s="24">
        <f>0</f>
        <v>0</v>
      </c>
      <c r="Q236" s="15" t="s">
        <v>40</v>
      </c>
      <c r="R236" s="15" t="s">
        <v>110</v>
      </c>
      <c r="S236" s="24">
        <f>146557.38</f>
        <v>146557.38</v>
      </c>
      <c r="T236" s="15"/>
      <c r="U236" s="7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</row>
    <row r="237" spans="1:148" ht="15">
      <c r="A237" s="14" t="s">
        <v>32</v>
      </c>
      <c r="B237" s="15"/>
      <c r="C237" s="15"/>
      <c r="D237" s="24">
        <f>0</f>
        <v>0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24">
        <f>0</f>
        <v>0</v>
      </c>
      <c r="P237" s="24">
        <f>0</f>
        <v>0</v>
      </c>
      <c r="Q237" s="15" t="s">
        <v>40</v>
      </c>
      <c r="R237" s="15" t="s">
        <v>111</v>
      </c>
      <c r="S237" s="24">
        <f>151710.3</f>
        <v>151710.3</v>
      </c>
      <c r="T237" s="15"/>
      <c r="U237" s="7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</row>
    <row r="238" spans="1:148" ht="15">
      <c r="A238" s="14" t="s">
        <v>32</v>
      </c>
      <c r="B238" s="15"/>
      <c r="C238" s="15"/>
      <c r="D238" s="24">
        <f>0</f>
        <v>0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24">
        <f>0</f>
        <v>0</v>
      </c>
      <c r="P238" s="24">
        <f>0</f>
        <v>0</v>
      </c>
      <c r="Q238" s="15" t="s">
        <v>40</v>
      </c>
      <c r="R238" s="15" t="s">
        <v>112</v>
      </c>
      <c r="S238" s="24">
        <f>151857.53</f>
        <v>151857.53</v>
      </c>
      <c r="T238" s="15"/>
      <c r="U238" s="7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</row>
    <row r="239" spans="1:148" ht="15">
      <c r="A239" s="14" t="s">
        <v>32</v>
      </c>
      <c r="B239" s="15"/>
      <c r="C239" s="15"/>
      <c r="D239" s="24">
        <f>0</f>
        <v>0</v>
      </c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24">
        <f>0</f>
        <v>0</v>
      </c>
      <c r="P239" s="24">
        <f>0</f>
        <v>0</v>
      </c>
      <c r="Q239" s="15" t="s">
        <v>40</v>
      </c>
      <c r="R239" s="15" t="s">
        <v>113</v>
      </c>
      <c r="S239" s="24">
        <f>137161.64</f>
        <v>137161.64</v>
      </c>
      <c r="T239" s="15"/>
      <c r="U239" s="7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</row>
    <row r="240" spans="1:148" ht="15">
      <c r="A240" s="14" t="s">
        <v>32</v>
      </c>
      <c r="B240" s="15"/>
      <c r="C240" s="15"/>
      <c r="D240" s="24">
        <f>0</f>
        <v>0</v>
      </c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24">
        <f>0</f>
        <v>0</v>
      </c>
      <c r="P240" s="24">
        <f>0</f>
        <v>0</v>
      </c>
      <c r="Q240" s="15" t="s">
        <v>40</v>
      </c>
      <c r="R240" s="15" t="s">
        <v>114</v>
      </c>
      <c r="S240" s="24">
        <f>151857.53</f>
        <v>151857.53</v>
      </c>
      <c r="T240" s="15"/>
      <c r="U240" s="7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</row>
    <row r="241" spans="1:148" ht="15">
      <c r="A241" s="14" t="s">
        <v>32</v>
      </c>
      <c r="B241" s="15"/>
      <c r="C241" s="15"/>
      <c r="D241" s="24">
        <f>0</f>
        <v>0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24">
        <f>0</f>
        <v>0</v>
      </c>
      <c r="P241" s="24">
        <f>0</f>
        <v>0</v>
      </c>
      <c r="Q241" s="15" t="s">
        <v>40</v>
      </c>
      <c r="R241" s="15" t="s">
        <v>115</v>
      </c>
      <c r="S241" s="24">
        <f>146958.9</f>
        <v>146958.9</v>
      </c>
      <c r="T241" s="15"/>
      <c r="U241" s="7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</row>
    <row r="242" spans="1:148" ht="15">
      <c r="A242" s="14" t="s">
        <v>32</v>
      </c>
      <c r="B242" s="15"/>
      <c r="C242" s="15"/>
      <c r="D242" s="24">
        <f>0</f>
        <v>0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24">
        <f>0</f>
        <v>0</v>
      </c>
      <c r="P242" s="24">
        <f>0</f>
        <v>0</v>
      </c>
      <c r="Q242" s="15" t="s">
        <v>40</v>
      </c>
      <c r="R242" s="15" t="s">
        <v>116</v>
      </c>
      <c r="S242" s="24">
        <f>151857.53</f>
        <v>151857.53</v>
      </c>
      <c r="T242" s="15"/>
      <c r="U242" s="7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</row>
    <row r="243" spans="1:148" ht="15">
      <c r="A243" s="14" t="s">
        <v>32</v>
      </c>
      <c r="B243" s="15"/>
      <c r="C243" s="15"/>
      <c r="D243" s="24">
        <f>0</f>
        <v>0</v>
      </c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24">
        <f>0</f>
        <v>0</v>
      </c>
      <c r="P243" s="24">
        <f>0</f>
        <v>0</v>
      </c>
      <c r="Q243" s="15" t="s">
        <v>40</v>
      </c>
      <c r="R243" s="15" t="s">
        <v>117</v>
      </c>
      <c r="S243" s="24">
        <f>146958.9</f>
        <v>146958.9</v>
      </c>
      <c r="T243" s="15"/>
      <c r="U243" s="7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</row>
    <row r="244" spans="1:148" ht="15">
      <c r="A244" s="14" t="s">
        <v>32</v>
      </c>
      <c r="B244" s="15"/>
      <c r="C244" s="15"/>
      <c r="D244" s="24">
        <f>0</f>
        <v>0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24">
        <f>0</f>
        <v>0</v>
      </c>
      <c r="P244" s="24">
        <f>0</f>
        <v>0</v>
      </c>
      <c r="Q244" s="15" t="s">
        <v>40</v>
      </c>
      <c r="R244" s="15" t="s">
        <v>118</v>
      </c>
      <c r="S244" s="24">
        <f>151857.53</f>
        <v>151857.53</v>
      </c>
      <c r="T244" s="15"/>
      <c r="U244" s="7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</row>
    <row r="245" spans="1:148" ht="15">
      <c r="A245" s="14" t="s">
        <v>32</v>
      </c>
      <c r="B245" s="15"/>
      <c r="C245" s="15"/>
      <c r="D245" s="24">
        <f>0</f>
        <v>0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24">
        <f>0</f>
        <v>0</v>
      </c>
      <c r="P245" s="24">
        <f>0</f>
        <v>0</v>
      </c>
      <c r="Q245" s="15" t="s">
        <v>40</v>
      </c>
      <c r="R245" s="15" t="s">
        <v>119</v>
      </c>
      <c r="S245" s="24">
        <f>151857.53</f>
        <v>151857.53</v>
      </c>
      <c r="T245" s="15"/>
      <c r="U245" s="7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</row>
    <row r="246" spans="1:148" ht="89.25">
      <c r="A246" s="11" t="s">
        <v>31</v>
      </c>
      <c r="B246" s="12" t="s">
        <v>126</v>
      </c>
      <c r="C246" s="13" t="s">
        <v>104</v>
      </c>
      <c r="D246" s="23">
        <f>149513700</f>
        <v>149513700</v>
      </c>
      <c r="E246" s="13" t="s">
        <v>75</v>
      </c>
      <c r="F246" s="13" t="s">
        <v>127</v>
      </c>
      <c r="G246" s="13" t="s">
        <v>36</v>
      </c>
      <c r="H246" s="13"/>
      <c r="I246" s="13" t="s">
        <v>128</v>
      </c>
      <c r="J246" s="13" t="s">
        <v>129</v>
      </c>
      <c r="K246" s="12" t="s">
        <v>94</v>
      </c>
      <c r="L246" s="13"/>
      <c r="M246" s="13"/>
      <c r="N246" s="13"/>
      <c r="O246" s="23">
        <f>0</f>
        <v>0</v>
      </c>
      <c r="P246" s="23">
        <f>149513700</f>
        <v>149513700</v>
      </c>
      <c r="Q246" s="13" t="s">
        <v>40</v>
      </c>
      <c r="R246" s="13" t="s">
        <v>108</v>
      </c>
      <c r="S246" s="23">
        <f>438736.92</f>
        <v>438736.92</v>
      </c>
      <c r="T246" s="13"/>
      <c r="U246" s="7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</row>
    <row r="247" spans="1:148" ht="15">
      <c r="A247" s="14" t="s">
        <v>32</v>
      </c>
      <c r="B247" s="15"/>
      <c r="C247" s="15"/>
      <c r="D247" s="24">
        <f>0</f>
        <v>0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24">
        <f>0</f>
        <v>0</v>
      </c>
      <c r="P247" s="24">
        <f>0</f>
        <v>0</v>
      </c>
      <c r="Q247" s="15" t="s">
        <v>40</v>
      </c>
      <c r="R247" s="15" t="s">
        <v>109</v>
      </c>
      <c r="S247" s="24">
        <f>1133403.71</f>
        <v>1133403.71</v>
      </c>
      <c r="T247" s="15"/>
      <c r="U247" s="7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</row>
    <row r="248" spans="1:148" ht="15">
      <c r="A248" s="14" t="s">
        <v>32</v>
      </c>
      <c r="B248" s="15"/>
      <c r="C248" s="15"/>
      <c r="D248" s="24">
        <f>0</f>
        <v>0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24">
        <f>0</f>
        <v>0</v>
      </c>
      <c r="P248" s="24">
        <f>0</f>
        <v>0</v>
      </c>
      <c r="Q248" s="15" t="s">
        <v>40</v>
      </c>
      <c r="R248" s="15" t="s">
        <v>110</v>
      </c>
      <c r="S248" s="24">
        <f>1096842.3</f>
        <v>1096842.3</v>
      </c>
      <c r="T248" s="15"/>
      <c r="U248" s="7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</row>
    <row r="249" spans="1:148" ht="15">
      <c r="A249" s="14" t="s">
        <v>32</v>
      </c>
      <c r="B249" s="15"/>
      <c r="C249" s="15"/>
      <c r="D249" s="24">
        <f>0</f>
        <v>0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24">
        <f>0</f>
        <v>0</v>
      </c>
      <c r="P249" s="24">
        <f>0</f>
        <v>0</v>
      </c>
      <c r="Q249" s="15" t="s">
        <v>40</v>
      </c>
      <c r="R249" s="15" t="s">
        <v>111</v>
      </c>
      <c r="S249" s="24">
        <f>1135407.08</f>
        <v>1135407.08</v>
      </c>
      <c r="T249" s="15"/>
      <c r="U249" s="7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</row>
    <row r="250" spans="1:148" ht="15">
      <c r="A250" s="14" t="s">
        <v>32</v>
      </c>
      <c r="B250" s="15"/>
      <c r="C250" s="15"/>
      <c r="D250" s="24">
        <f>0</f>
        <v>0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24">
        <f>0</f>
        <v>0</v>
      </c>
      <c r="P250" s="24">
        <f>0</f>
        <v>0</v>
      </c>
      <c r="Q250" s="15" t="s">
        <v>40</v>
      </c>
      <c r="R250" s="15" t="s">
        <v>112</v>
      </c>
      <c r="S250" s="24">
        <f>1136508.93</f>
        <v>1136508.93</v>
      </c>
      <c r="T250" s="15"/>
      <c r="U250" s="7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</row>
    <row r="251" spans="1:148" ht="15">
      <c r="A251" s="14" t="s">
        <v>32</v>
      </c>
      <c r="B251" s="15"/>
      <c r="C251" s="15"/>
      <c r="D251" s="24">
        <f>0</f>
        <v>0</v>
      </c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24">
        <f>0</f>
        <v>0</v>
      </c>
      <c r="P251" s="24">
        <f>0</f>
        <v>0</v>
      </c>
      <c r="Q251" s="15" t="s">
        <v>40</v>
      </c>
      <c r="R251" s="15" t="s">
        <v>113</v>
      </c>
      <c r="S251" s="24">
        <f>1026524.2</f>
        <v>1026524.2</v>
      </c>
      <c r="T251" s="15"/>
      <c r="U251" s="7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</row>
    <row r="252" spans="1:148" ht="15">
      <c r="A252" s="14" t="s">
        <v>32</v>
      </c>
      <c r="B252" s="15"/>
      <c r="C252" s="15"/>
      <c r="D252" s="24">
        <f>0</f>
        <v>0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24">
        <f>0</f>
        <v>0</v>
      </c>
      <c r="P252" s="24">
        <f>0</f>
        <v>0</v>
      </c>
      <c r="Q252" s="15" t="s">
        <v>40</v>
      </c>
      <c r="R252" s="15" t="s">
        <v>114</v>
      </c>
      <c r="S252" s="24">
        <f>1136508.93</f>
        <v>1136508.93</v>
      </c>
      <c r="T252" s="15"/>
      <c r="U252" s="7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</row>
    <row r="253" spans="1:148" ht="15">
      <c r="A253" s="14" t="s">
        <v>32</v>
      </c>
      <c r="B253" s="15"/>
      <c r="C253" s="15"/>
      <c r="D253" s="24">
        <f>0</f>
        <v>0</v>
      </c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24">
        <f>0</f>
        <v>0</v>
      </c>
      <c r="P253" s="24">
        <f>0</f>
        <v>0</v>
      </c>
      <c r="Q253" s="15" t="s">
        <v>40</v>
      </c>
      <c r="R253" s="15" t="s">
        <v>115</v>
      </c>
      <c r="S253" s="24">
        <f>1099847.35</f>
        <v>1099847.35</v>
      </c>
      <c r="T253" s="15"/>
      <c r="U253" s="7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</row>
    <row r="254" spans="1:148" ht="15">
      <c r="A254" s="14" t="s">
        <v>32</v>
      </c>
      <c r="B254" s="15"/>
      <c r="C254" s="15"/>
      <c r="D254" s="24">
        <f>0</f>
        <v>0</v>
      </c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24">
        <f>0</f>
        <v>0</v>
      </c>
      <c r="P254" s="24">
        <f>0</f>
        <v>0</v>
      </c>
      <c r="Q254" s="15" t="s">
        <v>40</v>
      </c>
      <c r="R254" s="15" t="s">
        <v>116</v>
      </c>
      <c r="S254" s="24">
        <f>1136508.93</f>
        <v>1136508.93</v>
      </c>
      <c r="T254" s="15"/>
      <c r="U254" s="7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</row>
    <row r="255" spans="1:148" ht="15">
      <c r="A255" s="14" t="s">
        <v>32</v>
      </c>
      <c r="B255" s="15"/>
      <c r="C255" s="15"/>
      <c r="D255" s="24">
        <f>0</f>
        <v>0</v>
      </c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24">
        <f>0</f>
        <v>0</v>
      </c>
      <c r="P255" s="24">
        <f>0</f>
        <v>0</v>
      </c>
      <c r="Q255" s="15" t="s">
        <v>40</v>
      </c>
      <c r="R255" s="15" t="s">
        <v>117</v>
      </c>
      <c r="S255" s="24">
        <f>1099847.35</f>
        <v>1099847.35</v>
      </c>
      <c r="T255" s="15"/>
      <c r="U255" s="7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</row>
    <row r="256" spans="1:148" ht="15">
      <c r="A256" s="14" t="s">
        <v>32</v>
      </c>
      <c r="B256" s="15"/>
      <c r="C256" s="15"/>
      <c r="D256" s="24">
        <f>0</f>
        <v>0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24">
        <f>0</f>
        <v>0</v>
      </c>
      <c r="P256" s="24">
        <f>0</f>
        <v>0</v>
      </c>
      <c r="Q256" s="15" t="s">
        <v>40</v>
      </c>
      <c r="R256" s="15" t="s">
        <v>118</v>
      </c>
      <c r="S256" s="24">
        <f>1136508.93</f>
        <v>1136508.93</v>
      </c>
      <c r="T256" s="15"/>
      <c r="U256" s="7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</row>
    <row r="257" spans="1:148" ht="15">
      <c r="A257" s="14" t="s">
        <v>32</v>
      </c>
      <c r="B257" s="15"/>
      <c r="C257" s="15"/>
      <c r="D257" s="24">
        <f>0</f>
        <v>0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24">
        <f>0</f>
        <v>0</v>
      </c>
      <c r="P257" s="24">
        <f>0</f>
        <v>0</v>
      </c>
      <c r="Q257" s="15" t="s">
        <v>40</v>
      </c>
      <c r="R257" s="15" t="s">
        <v>119</v>
      </c>
      <c r="S257" s="24">
        <f>1136508.93</f>
        <v>1136508.93</v>
      </c>
      <c r="T257" s="15"/>
      <c r="U257" s="7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</row>
    <row r="258" spans="1:148" ht="89.25">
      <c r="A258" s="11" t="s">
        <v>31</v>
      </c>
      <c r="B258" s="12" t="s">
        <v>130</v>
      </c>
      <c r="C258" s="13" t="s">
        <v>104</v>
      </c>
      <c r="D258" s="23">
        <f>160000000</f>
        <v>160000000</v>
      </c>
      <c r="E258" s="13" t="s">
        <v>75</v>
      </c>
      <c r="F258" s="13" t="s">
        <v>131</v>
      </c>
      <c r="G258" s="13" t="s">
        <v>36</v>
      </c>
      <c r="H258" s="13"/>
      <c r="I258" s="13" t="s">
        <v>132</v>
      </c>
      <c r="J258" s="13" t="s">
        <v>133</v>
      </c>
      <c r="K258" s="12" t="s">
        <v>106</v>
      </c>
      <c r="L258" s="13"/>
      <c r="M258" s="13"/>
      <c r="N258" s="13"/>
      <c r="O258" s="23">
        <f>0</f>
        <v>0</v>
      </c>
      <c r="P258" s="23">
        <f>160000000</f>
        <v>160000000</v>
      </c>
      <c r="Q258" s="13" t="s">
        <v>40</v>
      </c>
      <c r="R258" s="13" t="s">
        <v>108</v>
      </c>
      <c r="S258" s="23">
        <f>195409.84</f>
        <v>195409.84</v>
      </c>
      <c r="T258" s="13"/>
      <c r="U258" s="7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</row>
    <row r="259" spans="1:148" ht="15">
      <c r="A259" s="14" t="s">
        <v>32</v>
      </c>
      <c r="B259" s="15"/>
      <c r="C259" s="15"/>
      <c r="D259" s="24">
        <f>0</f>
        <v>0</v>
      </c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24">
        <f>0</f>
        <v>0</v>
      </c>
      <c r="P259" s="24">
        <f>0</f>
        <v>0</v>
      </c>
      <c r="Q259" s="15" t="s">
        <v>40</v>
      </c>
      <c r="R259" s="15" t="s">
        <v>109</v>
      </c>
      <c r="S259" s="24">
        <f>1211540.98</f>
        <v>1211540.98</v>
      </c>
      <c r="T259" s="15"/>
      <c r="U259" s="7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</row>
    <row r="260" spans="1:148" ht="15">
      <c r="A260" s="14" t="s">
        <v>32</v>
      </c>
      <c r="B260" s="15"/>
      <c r="C260" s="15"/>
      <c r="D260" s="24">
        <f>0</f>
        <v>0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24">
        <f>0</f>
        <v>0</v>
      </c>
      <c r="P260" s="24">
        <f>0</f>
        <v>0</v>
      </c>
      <c r="Q260" s="15" t="s">
        <v>40</v>
      </c>
      <c r="R260" s="15" t="s">
        <v>110</v>
      </c>
      <c r="S260" s="24">
        <f>1172459.01</f>
        <v>1172459.01</v>
      </c>
      <c r="T260" s="15"/>
      <c r="U260" s="7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</row>
    <row r="261" spans="1:148" ht="15">
      <c r="A261" s="14" t="s">
        <v>32</v>
      </c>
      <c r="B261" s="15"/>
      <c r="C261" s="15"/>
      <c r="D261" s="24">
        <f>0</f>
        <v>0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24">
        <f>0</f>
        <v>0</v>
      </c>
      <c r="P261" s="24">
        <f>0</f>
        <v>0</v>
      </c>
      <c r="Q261" s="15" t="s">
        <v>40</v>
      </c>
      <c r="R261" s="15" t="s">
        <v>111</v>
      </c>
      <c r="S261" s="24">
        <f>1213682.46</f>
        <v>1213682.46</v>
      </c>
      <c r="T261" s="15"/>
      <c r="U261" s="7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</row>
    <row r="262" spans="1:148" ht="15">
      <c r="A262" s="14" t="s">
        <v>32</v>
      </c>
      <c r="B262" s="15"/>
      <c r="C262" s="15"/>
      <c r="D262" s="24">
        <f>0</f>
        <v>0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24">
        <f>0</f>
        <v>0</v>
      </c>
      <c r="P262" s="24">
        <f>0</f>
        <v>0</v>
      </c>
      <c r="Q262" s="15" t="s">
        <v>40</v>
      </c>
      <c r="R262" s="15" t="s">
        <v>112</v>
      </c>
      <c r="S262" s="24">
        <f>1214860.27</f>
        <v>1214860.27</v>
      </c>
      <c r="T262" s="15"/>
      <c r="U262" s="7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</row>
    <row r="263" spans="1:148" ht="15">
      <c r="A263" s="14" t="s">
        <v>32</v>
      </c>
      <c r="B263" s="15"/>
      <c r="C263" s="15"/>
      <c r="D263" s="24">
        <f>0</f>
        <v>0</v>
      </c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24">
        <f>0</f>
        <v>0</v>
      </c>
      <c r="P263" s="24">
        <f>0</f>
        <v>0</v>
      </c>
      <c r="Q263" s="15" t="s">
        <v>40</v>
      </c>
      <c r="R263" s="15" t="s">
        <v>113</v>
      </c>
      <c r="S263" s="24">
        <f>1097293.15</f>
        <v>1097293.15</v>
      </c>
      <c r="T263" s="15"/>
      <c r="U263" s="7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</row>
    <row r="264" spans="1:148" ht="15">
      <c r="A264" s="14" t="s">
        <v>32</v>
      </c>
      <c r="B264" s="15"/>
      <c r="C264" s="15"/>
      <c r="D264" s="24">
        <f>0</f>
        <v>0</v>
      </c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24">
        <f>0</f>
        <v>0</v>
      </c>
      <c r="P264" s="24">
        <f>0</f>
        <v>0</v>
      </c>
      <c r="Q264" s="15" t="s">
        <v>40</v>
      </c>
      <c r="R264" s="15" t="s">
        <v>114</v>
      </c>
      <c r="S264" s="24">
        <f>1214860.27</f>
        <v>1214860.27</v>
      </c>
      <c r="T264" s="15"/>
      <c r="U264" s="7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</row>
    <row r="265" spans="1:148" ht="15">
      <c r="A265" s="14" t="s">
        <v>32</v>
      </c>
      <c r="B265" s="15"/>
      <c r="C265" s="15"/>
      <c r="D265" s="24">
        <f>0</f>
        <v>0</v>
      </c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24">
        <f>0</f>
        <v>0</v>
      </c>
      <c r="P265" s="24">
        <f>0</f>
        <v>0</v>
      </c>
      <c r="Q265" s="15" t="s">
        <v>40</v>
      </c>
      <c r="R265" s="15" t="s">
        <v>115</v>
      </c>
      <c r="S265" s="24">
        <f>1175671.23</f>
        <v>1175671.23</v>
      </c>
      <c r="T265" s="15"/>
      <c r="U265" s="7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</row>
    <row r="266" spans="1:148" ht="15">
      <c r="A266" s="14" t="s">
        <v>32</v>
      </c>
      <c r="B266" s="15"/>
      <c r="C266" s="15"/>
      <c r="D266" s="24">
        <f>0</f>
        <v>0</v>
      </c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24">
        <f>0</f>
        <v>0</v>
      </c>
      <c r="P266" s="24">
        <f>0</f>
        <v>0</v>
      </c>
      <c r="Q266" s="15" t="s">
        <v>40</v>
      </c>
      <c r="R266" s="15" t="s">
        <v>116</v>
      </c>
      <c r="S266" s="24">
        <f>1214860.27</f>
        <v>1214860.27</v>
      </c>
      <c r="T266" s="15"/>
      <c r="U266" s="7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</row>
    <row r="267" spans="1:148" ht="15">
      <c r="A267" s="14" t="s">
        <v>32</v>
      </c>
      <c r="B267" s="15"/>
      <c r="C267" s="15"/>
      <c r="D267" s="24">
        <f>0</f>
        <v>0</v>
      </c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24">
        <f>0</f>
        <v>0</v>
      </c>
      <c r="P267" s="24">
        <f>0</f>
        <v>0</v>
      </c>
      <c r="Q267" s="15" t="s">
        <v>40</v>
      </c>
      <c r="R267" s="15" t="s">
        <v>117</v>
      </c>
      <c r="S267" s="24">
        <f>1175671.23</f>
        <v>1175671.23</v>
      </c>
      <c r="T267" s="15"/>
      <c r="U267" s="7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</row>
    <row r="268" spans="1:148" ht="15">
      <c r="A268" s="14" t="s">
        <v>32</v>
      </c>
      <c r="B268" s="15"/>
      <c r="C268" s="15"/>
      <c r="D268" s="24">
        <f>0</f>
        <v>0</v>
      </c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24">
        <f>0</f>
        <v>0</v>
      </c>
      <c r="P268" s="24">
        <f>0</f>
        <v>0</v>
      </c>
      <c r="Q268" s="15" t="s">
        <v>40</v>
      </c>
      <c r="R268" s="15" t="s">
        <v>118</v>
      </c>
      <c r="S268" s="24">
        <f>1214860.27</f>
        <v>1214860.27</v>
      </c>
      <c r="T268" s="15"/>
      <c r="U268" s="7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</row>
    <row r="269" spans="1:148" ht="15">
      <c r="A269" s="14" t="s">
        <v>32</v>
      </c>
      <c r="B269" s="15"/>
      <c r="C269" s="15"/>
      <c r="D269" s="24">
        <f>0</f>
        <v>0</v>
      </c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24">
        <f>0</f>
        <v>0</v>
      </c>
      <c r="P269" s="24">
        <f>0</f>
        <v>0</v>
      </c>
      <c r="Q269" s="15" t="s">
        <v>40</v>
      </c>
      <c r="R269" s="15" t="s">
        <v>119</v>
      </c>
      <c r="S269" s="24">
        <f>1214860.27</f>
        <v>1214860.27</v>
      </c>
      <c r="T269" s="15"/>
      <c r="U269" s="7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</row>
    <row r="270" spans="1:148" ht="89.25">
      <c r="A270" s="11" t="s">
        <v>31</v>
      </c>
      <c r="B270" s="12" t="s">
        <v>134</v>
      </c>
      <c r="C270" s="13" t="s">
        <v>104</v>
      </c>
      <c r="D270" s="23">
        <f>310000000</f>
        <v>310000000</v>
      </c>
      <c r="E270" s="13" t="s">
        <v>75</v>
      </c>
      <c r="F270" s="13" t="s">
        <v>135</v>
      </c>
      <c r="G270" s="13" t="s">
        <v>36</v>
      </c>
      <c r="H270" s="13"/>
      <c r="I270" s="13" t="s">
        <v>136</v>
      </c>
      <c r="J270" s="13" t="s">
        <v>137</v>
      </c>
      <c r="K270" s="12" t="s">
        <v>71</v>
      </c>
      <c r="L270" s="13"/>
      <c r="M270" s="13"/>
      <c r="N270" s="13"/>
      <c r="O270" s="23">
        <f>0</f>
        <v>0</v>
      </c>
      <c r="P270" s="23">
        <f>0</f>
        <v>0</v>
      </c>
      <c r="Q270" s="13" t="s">
        <v>40</v>
      </c>
      <c r="R270" s="13" t="s">
        <v>110</v>
      </c>
      <c r="S270" s="23">
        <f>609836.07</f>
        <v>609836.07</v>
      </c>
      <c r="T270" s="13"/>
      <c r="U270" s="7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</row>
    <row r="271" spans="1:148" ht="15">
      <c r="A271" s="14" t="s">
        <v>32</v>
      </c>
      <c r="B271" s="15"/>
      <c r="C271" s="15"/>
      <c r="D271" s="24">
        <f>0</f>
        <v>0</v>
      </c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24">
        <f>0</f>
        <v>0</v>
      </c>
      <c r="P271" s="24">
        <f>0</f>
        <v>0</v>
      </c>
      <c r="Q271" s="15" t="s">
        <v>40</v>
      </c>
      <c r="R271" s="15" t="s">
        <v>111</v>
      </c>
      <c r="S271" s="24">
        <f>2367291.71</f>
        <v>2367291.71</v>
      </c>
      <c r="T271" s="15"/>
      <c r="U271" s="7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</row>
    <row r="272" spans="1:148" ht="15">
      <c r="A272" s="14" t="s">
        <v>32</v>
      </c>
      <c r="B272" s="15"/>
      <c r="C272" s="15"/>
      <c r="D272" s="24">
        <f>0</f>
        <v>0</v>
      </c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24">
        <f>0</f>
        <v>0</v>
      </c>
      <c r="P272" s="24">
        <f>0</f>
        <v>0</v>
      </c>
      <c r="Q272" s="15" t="s">
        <v>40</v>
      </c>
      <c r="R272" s="15" t="s">
        <v>112</v>
      </c>
      <c r="S272" s="24">
        <f>2369589.04</f>
        <v>2369589.04</v>
      </c>
      <c r="T272" s="15"/>
      <c r="U272" s="7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</row>
    <row r="273" spans="1:148" ht="15">
      <c r="A273" s="14" t="s">
        <v>32</v>
      </c>
      <c r="B273" s="15"/>
      <c r="C273" s="15"/>
      <c r="D273" s="24">
        <f>0</f>
        <v>0</v>
      </c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24">
        <f>0</f>
        <v>0</v>
      </c>
      <c r="P273" s="24">
        <f>0</f>
        <v>0</v>
      </c>
      <c r="Q273" s="15" t="s">
        <v>40</v>
      </c>
      <c r="R273" s="15" t="s">
        <v>113</v>
      </c>
      <c r="S273" s="24">
        <f>2140273.97</f>
        <v>2140273.97</v>
      </c>
      <c r="T273" s="15"/>
      <c r="U273" s="7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</row>
    <row r="274" spans="1:148" ht="15">
      <c r="A274" s="14" t="s">
        <v>32</v>
      </c>
      <c r="B274" s="15"/>
      <c r="C274" s="15"/>
      <c r="D274" s="24">
        <f>0</f>
        <v>0</v>
      </c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24">
        <f>0</f>
        <v>0</v>
      </c>
      <c r="P274" s="24">
        <f>0</f>
        <v>0</v>
      </c>
      <c r="Q274" s="15" t="s">
        <v>40</v>
      </c>
      <c r="R274" s="15" t="s">
        <v>114</v>
      </c>
      <c r="S274" s="24">
        <f>2369589.04</f>
        <v>2369589.04</v>
      </c>
      <c r="T274" s="15"/>
      <c r="U274" s="7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</row>
    <row r="275" spans="1:148" ht="15">
      <c r="A275" s="14" t="s">
        <v>32</v>
      </c>
      <c r="B275" s="15"/>
      <c r="C275" s="15"/>
      <c r="D275" s="24">
        <f>0</f>
        <v>0</v>
      </c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24">
        <f>0</f>
        <v>0</v>
      </c>
      <c r="P275" s="24">
        <f>0</f>
        <v>0</v>
      </c>
      <c r="Q275" s="15" t="s">
        <v>40</v>
      </c>
      <c r="R275" s="15" t="s">
        <v>115</v>
      </c>
      <c r="S275" s="24">
        <f>2293150.68</f>
        <v>2293150.68</v>
      </c>
      <c r="T275" s="15"/>
      <c r="U275" s="7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</row>
    <row r="276" spans="1:148" ht="15">
      <c r="A276" s="14" t="s">
        <v>32</v>
      </c>
      <c r="B276" s="15"/>
      <c r="C276" s="15"/>
      <c r="D276" s="24">
        <f>0</f>
        <v>0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24">
        <f>0</f>
        <v>0</v>
      </c>
      <c r="P276" s="24">
        <f>0</f>
        <v>0</v>
      </c>
      <c r="Q276" s="15" t="s">
        <v>40</v>
      </c>
      <c r="R276" s="15" t="s">
        <v>116</v>
      </c>
      <c r="S276" s="24">
        <f>2369589.04</f>
        <v>2369589.04</v>
      </c>
      <c r="T276" s="15"/>
      <c r="U276" s="7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</row>
    <row r="277" spans="1:148" ht="15">
      <c r="A277" s="14" t="s">
        <v>32</v>
      </c>
      <c r="B277" s="15"/>
      <c r="C277" s="15"/>
      <c r="D277" s="24">
        <f>0</f>
        <v>0</v>
      </c>
      <c r="E277" s="15"/>
      <c r="F277" s="15"/>
      <c r="G277" s="15"/>
      <c r="H277" s="15"/>
      <c r="I277" s="15"/>
      <c r="J277" s="15"/>
      <c r="K277" s="15"/>
      <c r="L277" s="15"/>
      <c r="M277" s="15"/>
      <c r="N277" s="15" t="s">
        <v>73</v>
      </c>
      <c r="O277" s="24">
        <f>310000000</f>
        <v>310000000</v>
      </c>
      <c r="P277" s="24">
        <f>0</f>
        <v>0</v>
      </c>
      <c r="Q277" s="15" t="s">
        <v>40</v>
      </c>
      <c r="R277" s="15" t="s">
        <v>73</v>
      </c>
      <c r="S277" s="24">
        <f>917260.27</f>
        <v>917260.27</v>
      </c>
      <c r="T277" s="15"/>
      <c r="U277" s="7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</row>
    <row r="278" spans="1:148" ht="89.25">
      <c r="A278" s="11" t="s">
        <v>31</v>
      </c>
      <c r="B278" s="12" t="s">
        <v>138</v>
      </c>
      <c r="C278" s="13" t="s">
        <v>104</v>
      </c>
      <c r="D278" s="23">
        <f>330000000</f>
        <v>330000000</v>
      </c>
      <c r="E278" s="13" t="s">
        <v>75</v>
      </c>
      <c r="F278" s="13" t="s">
        <v>139</v>
      </c>
      <c r="G278" s="13" t="s">
        <v>36</v>
      </c>
      <c r="H278" s="13"/>
      <c r="I278" s="13" t="s">
        <v>136</v>
      </c>
      <c r="J278" s="13" t="s">
        <v>137</v>
      </c>
      <c r="K278" s="12" t="s">
        <v>106</v>
      </c>
      <c r="L278" s="13"/>
      <c r="M278" s="13"/>
      <c r="N278" s="13"/>
      <c r="O278" s="23">
        <f>0</f>
        <v>0</v>
      </c>
      <c r="P278" s="23">
        <f>330000000</f>
        <v>330000000</v>
      </c>
      <c r="Q278" s="13" t="s">
        <v>40</v>
      </c>
      <c r="R278" s="13" t="s">
        <v>110</v>
      </c>
      <c r="S278" s="23">
        <f>644852.46</f>
        <v>644852.46</v>
      </c>
      <c r="T278" s="13"/>
      <c r="U278" s="7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</row>
    <row r="279" spans="1:148" ht="15">
      <c r="A279" s="14" t="s">
        <v>32</v>
      </c>
      <c r="B279" s="15"/>
      <c r="C279" s="15"/>
      <c r="D279" s="24">
        <f>0</f>
        <v>0</v>
      </c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24">
        <f>0</f>
        <v>0</v>
      </c>
      <c r="P279" s="24">
        <f>0</f>
        <v>0</v>
      </c>
      <c r="Q279" s="15" t="s">
        <v>40</v>
      </c>
      <c r="R279" s="15" t="s">
        <v>111</v>
      </c>
      <c r="S279" s="24">
        <f>2503220.08</f>
        <v>2503220.08</v>
      </c>
      <c r="T279" s="15"/>
      <c r="U279" s="7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</row>
    <row r="280" spans="1:148" ht="15">
      <c r="A280" s="14" t="s">
        <v>32</v>
      </c>
      <c r="B280" s="15"/>
      <c r="C280" s="15"/>
      <c r="D280" s="24">
        <f>0</f>
        <v>0</v>
      </c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24">
        <f>0</f>
        <v>0</v>
      </c>
      <c r="P280" s="24">
        <f>0</f>
        <v>0</v>
      </c>
      <c r="Q280" s="15" t="s">
        <v>40</v>
      </c>
      <c r="R280" s="15" t="s">
        <v>112</v>
      </c>
      <c r="S280" s="24">
        <f>2505649.32</f>
        <v>2505649.32</v>
      </c>
      <c r="T280" s="15"/>
      <c r="U280" s="7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</row>
    <row r="281" spans="1:148" ht="15">
      <c r="A281" s="14" t="s">
        <v>32</v>
      </c>
      <c r="B281" s="15"/>
      <c r="C281" s="15"/>
      <c r="D281" s="24">
        <f>0</f>
        <v>0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24">
        <f>0</f>
        <v>0</v>
      </c>
      <c r="P281" s="24">
        <f>0</f>
        <v>0</v>
      </c>
      <c r="Q281" s="15" t="s">
        <v>40</v>
      </c>
      <c r="R281" s="15" t="s">
        <v>113</v>
      </c>
      <c r="S281" s="24">
        <f>2263167.13</f>
        <v>2263167.13</v>
      </c>
      <c r="T281" s="15"/>
      <c r="U281" s="7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</row>
    <row r="282" spans="1:148" ht="15">
      <c r="A282" s="14" t="s">
        <v>32</v>
      </c>
      <c r="B282" s="15"/>
      <c r="C282" s="15"/>
      <c r="D282" s="24">
        <f>0</f>
        <v>0</v>
      </c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24">
        <f>0</f>
        <v>0</v>
      </c>
      <c r="P282" s="24">
        <f>0</f>
        <v>0</v>
      </c>
      <c r="Q282" s="15" t="s">
        <v>40</v>
      </c>
      <c r="R282" s="15" t="s">
        <v>114</v>
      </c>
      <c r="S282" s="24">
        <f>2505649.32</f>
        <v>2505649.32</v>
      </c>
      <c r="T282" s="15"/>
      <c r="U282" s="7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</row>
    <row r="283" spans="1:148" ht="15">
      <c r="A283" s="14" t="s">
        <v>32</v>
      </c>
      <c r="B283" s="15"/>
      <c r="C283" s="15"/>
      <c r="D283" s="24">
        <f>0</f>
        <v>0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24">
        <f>0</f>
        <v>0</v>
      </c>
      <c r="P283" s="24">
        <f>0</f>
        <v>0</v>
      </c>
      <c r="Q283" s="15" t="s">
        <v>40</v>
      </c>
      <c r="R283" s="15" t="s">
        <v>115</v>
      </c>
      <c r="S283" s="24">
        <f>2424821.92</f>
        <v>2424821.92</v>
      </c>
      <c r="T283" s="15"/>
      <c r="U283" s="7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</row>
    <row r="284" spans="1:148" ht="15">
      <c r="A284" s="14" t="s">
        <v>32</v>
      </c>
      <c r="B284" s="15"/>
      <c r="C284" s="15"/>
      <c r="D284" s="24">
        <f>0</f>
        <v>0</v>
      </c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24">
        <f>0</f>
        <v>0</v>
      </c>
      <c r="P284" s="24">
        <f>0</f>
        <v>0</v>
      </c>
      <c r="Q284" s="15" t="s">
        <v>40</v>
      </c>
      <c r="R284" s="15" t="s">
        <v>116</v>
      </c>
      <c r="S284" s="24">
        <f>2505649.32</f>
        <v>2505649.32</v>
      </c>
      <c r="T284" s="15"/>
      <c r="U284" s="7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</row>
    <row r="285" spans="1:148" ht="15">
      <c r="A285" s="14" t="s">
        <v>32</v>
      </c>
      <c r="B285" s="15"/>
      <c r="C285" s="15"/>
      <c r="D285" s="24">
        <f>0</f>
        <v>0</v>
      </c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24">
        <f>0</f>
        <v>0</v>
      </c>
      <c r="P285" s="24">
        <f>0</f>
        <v>0</v>
      </c>
      <c r="Q285" s="15" t="s">
        <v>40</v>
      </c>
      <c r="R285" s="15" t="s">
        <v>117</v>
      </c>
      <c r="S285" s="24">
        <f>2424821.92</f>
        <v>2424821.92</v>
      </c>
      <c r="T285" s="15"/>
      <c r="U285" s="7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</row>
    <row r="286" spans="1:148" ht="15">
      <c r="A286" s="14" t="s">
        <v>32</v>
      </c>
      <c r="B286" s="15"/>
      <c r="C286" s="15"/>
      <c r="D286" s="24">
        <f>0</f>
        <v>0</v>
      </c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24">
        <f>0</f>
        <v>0</v>
      </c>
      <c r="P286" s="24">
        <f>0</f>
        <v>0</v>
      </c>
      <c r="Q286" s="15" t="s">
        <v>40</v>
      </c>
      <c r="R286" s="15" t="s">
        <v>118</v>
      </c>
      <c r="S286" s="24">
        <f>2505649.32</f>
        <v>2505649.32</v>
      </c>
      <c r="T286" s="15"/>
      <c r="U286" s="7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</row>
    <row r="287" spans="1:148" ht="15">
      <c r="A287" s="14" t="s">
        <v>32</v>
      </c>
      <c r="B287" s="15"/>
      <c r="C287" s="15"/>
      <c r="D287" s="24">
        <f>0</f>
        <v>0</v>
      </c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24">
        <f>0</f>
        <v>0</v>
      </c>
      <c r="P287" s="24">
        <f>0</f>
        <v>0</v>
      </c>
      <c r="Q287" s="15" t="s">
        <v>40</v>
      </c>
      <c r="R287" s="15" t="s">
        <v>119</v>
      </c>
      <c r="S287" s="24">
        <f>2505649.32</f>
        <v>2505649.32</v>
      </c>
      <c r="T287" s="15"/>
      <c r="U287" s="7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</row>
    <row r="288" spans="1:148" ht="89.25">
      <c r="A288" s="11" t="s">
        <v>31</v>
      </c>
      <c r="B288" s="12" t="s">
        <v>140</v>
      </c>
      <c r="C288" s="13" t="s">
        <v>104</v>
      </c>
      <c r="D288" s="23">
        <f>150000000</f>
        <v>150000000</v>
      </c>
      <c r="E288" s="13" t="s">
        <v>75</v>
      </c>
      <c r="F288" s="13" t="s">
        <v>141</v>
      </c>
      <c r="G288" s="13" t="s">
        <v>36</v>
      </c>
      <c r="H288" s="13"/>
      <c r="I288" s="13" t="s">
        <v>136</v>
      </c>
      <c r="J288" s="13" t="s">
        <v>137</v>
      </c>
      <c r="K288" s="12" t="s">
        <v>106</v>
      </c>
      <c r="L288" s="13"/>
      <c r="M288" s="13"/>
      <c r="N288" s="13"/>
      <c r="O288" s="23">
        <f>0</f>
        <v>0</v>
      </c>
      <c r="P288" s="23">
        <f>150000000</f>
        <v>150000000</v>
      </c>
      <c r="Q288" s="13" t="s">
        <v>40</v>
      </c>
      <c r="R288" s="13" t="s">
        <v>110</v>
      </c>
      <c r="S288" s="23">
        <f>293114.75</f>
        <v>293114.75</v>
      </c>
      <c r="T288" s="13"/>
      <c r="U288" s="7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</row>
    <row r="289" spans="1:148" ht="15">
      <c r="A289" s="14" t="s">
        <v>32</v>
      </c>
      <c r="B289" s="15"/>
      <c r="C289" s="15"/>
      <c r="D289" s="24">
        <f>0</f>
        <v>0</v>
      </c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24">
        <f>0</f>
        <v>0</v>
      </c>
      <c r="P289" s="24">
        <f>0</f>
        <v>0</v>
      </c>
      <c r="Q289" s="15" t="s">
        <v>40</v>
      </c>
      <c r="R289" s="15" t="s">
        <v>111</v>
      </c>
      <c r="S289" s="24">
        <f>1137827.31</f>
        <v>1137827.31</v>
      </c>
      <c r="T289" s="15"/>
      <c r="U289" s="7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</row>
    <row r="290" spans="1:148" ht="15">
      <c r="A290" s="14" t="s">
        <v>32</v>
      </c>
      <c r="B290" s="15"/>
      <c r="C290" s="15"/>
      <c r="D290" s="24">
        <f>0</f>
        <v>0</v>
      </c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24">
        <f>0</f>
        <v>0</v>
      </c>
      <c r="P290" s="24">
        <f>0</f>
        <v>0</v>
      </c>
      <c r="Q290" s="15" t="s">
        <v>40</v>
      </c>
      <c r="R290" s="15" t="s">
        <v>112</v>
      </c>
      <c r="S290" s="24">
        <f>1138931.51</f>
        <v>1138931.51</v>
      </c>
      <c r="T290" s="15"/>
      <c r="U290" s="7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</row>
    <row r="291" spans="1:148" ht="15">
      <c r="A291" s="14" t="s">
        <v>32</v>
      </c>
      <c r="B291" s="15"/>
      <c r="C291" s="15"/>
      <c r="D291" s="24">
        <f>0</f>
        <v>0</v>
      </c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24">
        <f>0</f>
        <v>0</v>
      </c>
      <c r="P291" s="24">
        <f>0</f>
        <v>0</v>
      </c>
      <c r="Q291" s="15" t="s">
        <v>40</v>
      </c>
      <c r="R291" s="15" t="s">
        <v>113</v>
      </c>
      <c r="S291" s="24">
        <f>1028712.33</f>
        <v>1028712.33</v>
      </c>
      <c r="T291" s="15"/>
      <c r="U291" s="7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</row>
    <row r="292" spans="1:148" ht="15">
      <c r="A292" s="14" t="s">
        <v>32</v>
      </c>
      <c r="B292" s="15"/>
      <c r="C292" s="15"/>
      <c r="D292" s="24">
        <f>0</f>
        <v>0</v>
      </c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24">
        <f>0</f>
        <v>0</v>
      </c>
      <c r="P292" s="24">
        <f>0</f>
        <v>0</v>
      </c>
      <c r="Q292" s="15" t="s">
        <v>40</v>
      </c>
      <c r="R292" s="15" t="s">
        <v>114</v>
      </c>
      <c r="S292" s="24">
        <f>1138931.51</f>
        <v>1138931.51</v>
      </c>
      <c r="T292" s="15"/>
      <c r="U292" s="7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</row>
    <row r="293" spans="1:148" ht="15">
      <c r="A293" s="14" t="s">
        <v>32</v>
      </c>
      <c r="B293" s="15"/>
      <c r="C293" s="15"/>
      <c r="D293" s="24">
        <f>0</f>
        <v>0</v>
      </c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24">
        <f>0</f>
        <v>0</v>
      </c>
      <c r="P293" s="24">
        <f>0</f>
        <v>0</v>
      </c>
      <c r="Q293" s="15" t="s">
        <v>40</v>
      </c>
      <c r="R293" s="15" t="s">
        <v>115</v>
      </c>
      <c r="S293" s="24">
        <f>1102191.78</f>
        <v>1102191.78</v>
      </c>
      <c r="T293" s="15"/>
      <c r="U293" s="7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</row>
    <row r="294" spans="1:148" ht="15">
      <c r="A294" s="14" t="s">
        <v>32</v>
      </c>
      <c r="B294" s="15"/>
      <c r="C294" s="15"/>
      <c r="D294" s="24">
        <f>0</f>
        <v>0</v>
      </c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24">
        <f>0</f>
        <v>0</v>
      </c>
      <c r="P294" s="24">
        <f>0</f>
        <v>0</v>
      </c>
      <c r="Q294" s="15" t="s">
        <v>40</v>
      </c>
      <c r="R294" s="15" t="s">
        <v>116</v>
      </c>
      <c r="S294" s="24">
        <f>1138931.51</f>
        <v>1138931.51</v>
      </c>
      <c r="T294" s="15"/>
      <c r="U294" s="7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</row>
    <row r="295" spans="1:148" ht="15">
      <c r="A295" s="14" t="s">
        <v>32</v>
      </c>
      <c r="B295" s="15"/>
      <c r="C295" s="15"/>
      <c r="D295" s="24">
        <f>0</f>
        <v>0</v>
      </c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24">
        <f>0</f>
        <v>0</v>
      </c>
      <c r="P295" s="24">
        <f>0</f>
        <v>0</v>
      </c>
      <c r="Q295" s="15" t="s">
        <v>40</v>
      </c>
      <c r="R295" s="15" t="s">
        <v>117</v>
      </c>
      <c r="S295" s="24">
        <f>1102191.78</f>
        <v>1102191.78</v>
      </c>
      <c r="T295" s="15"/>
      <c r="U295" s="7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</row>
    <row r="296" spans="1:148" ht="15">
      <c r="A296" s="14" t="s">
        <v>32</v>
      </c>
      <c r="B296" s="15"/>
      <c r="C296" s="15"/>
      <c r="D296" s="24">
        <f>0</f>
        <v>0</v>
      </c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24">
        <f>0</f>
        <v>0</v>
      </c>
      <c r="P296" s="24">
        <f>0</f>
        <v>0</v>
      </c>
      <c r="Q296" s="15" t="s">
        <v>40</v>
      </c>
      <c r="R296" s="15" t="s">
        <v>118</v>
      </c>
      <c r="S296" s="24">
        <f>1138931.51</f>
        <v>1138931.51</v>
      </c>
      <c r="T296" s="15"/>
      <c r="U296" s="7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</row>
    <row r="297" spans="1:148" ht="15">
      <c r="A297" s="14" t="s">
        <v>32</v>
      </c>
      <c r="B297" s="15"/>
      <c r="C297" s="15"/>
      <c r="D297" s="24">
        <f>0</f>
        <v>0</v>
      </c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24">
        <f>0</f>
        <v>0</v>
      </c>
      <c r="P297" s="24">
        <f>0</f>
        <v>0</v>
      </c>
      <c r="Q297" s="15" t="s">
        <v>40</v>
      </c>
      <c r="R297" s="15" t="s">
        <v>119</v>
      </c>
      <c r="S297" s="24">
        <f>1138931.51</f>
        <v>1138931.51</v>
      </c>
      <c r="T297" s="15"/>
      <c r="U297" s="7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</row>
    <row r="298" spans="1:148" ht="89.25">
      <c r="A298" s="11" t="s">
        <v>31</v>
      </c>
      <c r="B298" s="12" t="s">
        <v>142</v>
      </c>
      <c r="C298" s="13" t="s">
        <v>104</v>
      </c>
      <c r="D298" s="23">
        <f>20000000</f>
        <v>20000000</v>
      </c>
      <c r="E298" s="13" t="s">
        <v>75</v>
      </c>
      <c r="F298" s="13" t="s">
        <v>143</v>
      </c>
      <c r="G298" s="13" t="s">
        <v>36</v>
      </c>
      <c r="H298" s="13"/>
      <c r="I298" s="13" t="s">
        <v>144</v>
      </c>
      <c r="J298" s="13" t="s">
        <v>145</v>
      </c>
      <c r="K298" s="12" t="s">
        <v>146</v>
      </c>
      <c r="L298" s="13"/>
      <c r="M298" s="13"/>
      <c r="N298" s="13" t="s">
        <v>73</v>
      </c>
      <c r="O298" s="23">
        <f>10000000</f>
        <v>10000000</v>
      </c>
      <c r="P298" s="23">
        <f>10000000</f>
        <v>10000000</v>
      </c>
      <c r="Q298" s="13" t="s">
        <v>40</v>
      </c>
      <c r="R298" s="13" t="s">
        <v>110</v>
      </c>
      <c r="S298" s="23">
        <f>14754.1</f>
        <v>14754.1</v>
      </c>
      <c r="T298" s="13"/>
      <c r="U298" s="7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</row>
    <row r="299" spans="1:148" ht="15">
      <c r="A299" s="14" t="s">
        <v>32</v>
      </c>
      <c r="B299" s="15"/>
      <c r="C299" s="15"/>
      <c r="D299" s="24">
        <f>0</f>
        <v>0</v>
      </c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24">
        <f>0</f>
        <v>0</v>
      </c>
      <c r="P299" s="24">
        <f>0</f>
        <v>0</v>
      </c>
      <c r="Q299" s="15" t="s">
        <v>40</v>
      </c>
      <c r="R299" s="15" t="s">
        <v>111</v>
      </c>
      <c r="S299" s="24">
        <f>152728.5</f>
        <v>152728.5</v>
      </c>
      <c r="T299" s="15"/>
      <c r="U299" s="7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</row>
    <row r="300" spans="1:148" ht="15">
      <c r="A300" s="14" t="s">
        <v>32</v>
      </c>
      <c r="B300" s="15"/>
      <c r="C300" s="15"/>
      <c r="D300" s="24">
        <f>0</f>
        <v>0</v>
      </c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24">
        <f>0</f>
        <v>0</v>
      </c>
      <c r="P300" s="24">
        <f>0</f>
        <v>0</v>
      </c>
      <c r="Q300" s="15" t="s">
        <v>40</v>
      </c>
      <c r="R300" s="15" t="s">
        <v>112</v>
      </c>
      <c r="S300" s="24">
        <f>152876.72</f>
        <v>152876.72</v>
      </c>
      <c r="T300" s="15"/>
      <c r="U300" s="7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</row>
    <row r="301" spans="1:148" ht="15">
      <c r="A301" s="14" t="s">
        <v>32</v>
      </c>
      <c r="B301" s="15"/>
      <c r="C301" s="15"/>
      <c r="D301" s="24">
        <f>0</f>
        <v>0</v>
      </c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24">
        <f>0</f>
        <v>0</v>
      </c>
      <c r="P301" s="24">
        <f>0</f>
        <v>0</v>
      </c>
      <c r="Q301" s="15" t="s">
        <v>40</v>
      </c>
      <c r="R301" s="15" t="s">
        <v>113</v>
      </c>
      <c r="S301" s="24">
        <f>138082.19</f>
        <v>138082.19</v>
      </c>
      <c r="T301" s="15"/>
      <c r="U301" s="7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</row>
    <row r="302" spans="1:148" ht="15">
      <c r="A302" s="14" t="s">
        <v>32</v>
      </c>
      <c r="B302" s="15"/>
      <c r="C302" s="15"/>
      <c r="D302" s="24">
        <f>0</f>
        <v>0</v>
      </c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24">
        <f>0</f>
        <v>0</v>
      </c>
      <c r="P302" s="24">
        <f>0</f>
        <v>0</v>
      </c>
      <c r="Q302" s="15" t="s">
        <v>40</v>
      </c>
      <c r="R302" s="15" t="s">
        <v>114</v>
      </c>
      <c r="S302" s="24">
        <f>152876.72</f>
        <v>152876.72</v>
      </c>
      <c r="T302" s="15"/>
      <c r="U302" s="7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</row>
    <row r="303" spans="1:148" ht="15">
      <c r="A303" s="14" t="s">
        <v>32</v>
      </c>
      <c r="B303" s="15"/>
      <c r="C303" s="15"/>
      <c r="D303" s="24">
        <f>0</f>
        <v>0</v>
      </c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24">
        <f>0</f>
        <v>0</v>
      </c>
      <c r="P303" s="24">
        <f>0</f>
        <v>0</v>
      </c>
      <c r="Q303" s="15" t="s">
        <v>40</v>
      </c>
      <c r="R303" s="15" t="s">
        <v>115</v>
      </c>
      <c r="S303" s="24">
        <f>147945.21</f>
        <v>147945.21</v>
      </c>
      <c r="T303" s="15"/>
      <c r="U303" s="7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</row>
    <row r="304" spans="1:148" ht="15">
      <c r="A304" s="14" t="s">
        <v>32</v>
      </c>
      <c r="B304" s="15"/>
      <c r="C304" s="15"/>
      <c r="D304" s="24">
        <f>0</f>
        <v>0</v>
      </c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24">
        <f>0</f>
        <v>0</v>
      </c>
      <c r="P304" s="24">
        <f>0</f>
        <v>0</v>
      </c>
      <c r="Q304" s="15" t="s">
        <v>40</v>
      </c>
      <c r="R304" s="15" t="s">
        <v>116</v>
      </c>
      <c r="S304" s="24">
        <f>152876.71</f>
        <v>152876.71</v>
      </c>
      <c r="T304" s="15"/>
      <c r="U304" s="7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</row>
    <row r="305" spans="1:148" ht="15">
      <c r="A305" s="14" t="s">
        <v>32</v>
      </c>
      <c r="B305" s="15"/>
      <c r="C305" s="15"/>
      <c r="D305" s="24">
        <f>0</f>
        <v>0</v>
      </c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24">
        <f>0</f>
        <v>0</v>
      </c>
      <c r="P305" s="24">
        <f>0</f>
        <v>0</v>
      </c>
      <c r="Q305" s="15" t="s">
        <v>40</v>
      </c>
      <c r="R305" s="15" t="s">
        <v>117</v>
      </c>
      <c r="S305" s="24">
        <f>103561.64</f>
        <v>103561.64</v>
      </c>
      <c r="T305" s="15"/>
      <c r="U305" s="7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</row>
    <row r="306" spans="1:148" ht="15">
      <c r="A306" s="14" t="s">
        <v>32</v>
      </c>
      <c r="B306" s="15"/>
      <c r="C306" s="15"/>
      <c r="D306" s="24">
        <f>0</f>
        <v>0</v>
      </c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24">
        <f>0</f>
        <v>0</v>
      </c>
      <c r="P306" s="24">
        <f>0</f>
        <v>0</v>
      </c>
      <c r="Q306" s="15" t="s">
        <v>40</v>
      </c>
      <c r="R306" s="15" t="s">
        <v>118</v>
      </c>
      <c r="S306" s="24">
        <f>76438.36</f>
        <v>76438.36</v>
      </c>
      <c r="T306" s="15"/>
      <c r="U306" s="7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</row>
    <row r="307" spans="1:148" ht="15">
      <c r="A307" s="14" t="s">
        <v>32</v>
      </c>
      <c r="B307" s="15"/>
      <c r="C307" s="15"/>
      <c r="D307" s="24">
        <f>0</f>
        <v>0</v>
      </c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24">
        <f>0</f>
        <v>0</v>
      </c>
      <c r="P307" s="24">
        <f>0</f>
        <v>0</v>
      </c>
      <c r="Q307" s="15" t="s">
        <v>40</v>
      </c>
      <c r="R307" s="15" t="s">
        <v>119</v>
      </c>
      <c r="S307" s="24">
        <f>76438.36</f>
        <v>76438.36</v>
      </c>
      <c r="T307" s="15"/>
      <c r="U307" s="7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</row>
    <row r="308" spans="1:148" ht="89.25">
      <c r="A308" s="11" t="s">
        <v>31</v>
      </c>
      <c r="B308" s="12" t="s">
        <v>147</v>
      </c>
      <c r="C308" s="13" t="s">
        <v>104</v>
      </c>
      <c r="D308" s="23">
        <f>330000000</f>
        <v>330000000</v>
      </c>
      <c r="E308" s="13" t="s">
        <v>75</v>
      </c>
      <c r="F308" s="13" t="s">
        <v>148</v>
      </c>
      <c r="G308" s="13" t="s">
        <v>36</v>
      </c>
      <c r="H308" s="13"/>
      <c r="I308" s="13" t="s">
        <v>144</v>
      </c>
      <c r="J308" s="13" t="s">
        <v>145</v>
      </c>
      <c r="K308" s="12" t="s">
        <v>146</v>
      </c>
      <c r="L308" s="13"/>
      <c r="M308" s="13"/>
      <c r="N308" s="13"/>
      <c r="O308" s="23">
        <f>0</f>
        <v>0</v>
      </c>
      <c r="P308" s="23">
        <f>330000000</f>
        <v>330000000</v>
      </c>
      <c r="Q308" s="13" t="s">
        <v>40</v>
      </c>
      <c r="R308" s="13" t="s">
        <v>110</v>
      </c>
      <c r="S308" s="23">
        <f>243442.62</f>
        <v>243442.62</v>
      </c>
      <c r="T308" s="13"/>
      <c r="U308" s="7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</row>
    <row r="309" spans="1:148" ht="15">
      <c r="A309" s="14" t="s">
        <v>32</v>
      </c>
      <c r="B309" s="15"/>
      <c r="C309" s="15"/>
      <c r="D309" s="24">
        <f>0</f>
        <v>0</v>
      </c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24">
        <f>0</f>
        <v>0</v>
      </c>
      <c r="P309" s="24">
        <f>0</f>
        <v>0</v>
      </c>
      <c r="Q309" s="15" t="s">
        <v>40</v>
      </c>
      <c r="R309" s="15" t="s">
        <v>111</v>
      </c>
      <c r="S309" s="24">
        <f>2520020.21</f>
        <v>2520020.21</v>
      </c>
      <c r="T309" s="15"/>
      <c r="U309" s="7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</row>
    <row r="310" spans="1:148" ht="15">
      <c r="A310" s="14" t="s">
        <v>32</v>
      </c>
      <c r="B310" s="15"/>
      <c r="C310" s="15"/>
      <c r="D310" s="24">
        <f>0</f>
        <v>0</v>
      </c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24">
        <f>0</f>
        <v>0</v>
      </c>
      <c r="P310" s="24">
        <f>0</f>
        <v>0</v>
      </c>
      <c r="Q310" s="15" t="s">
        <v>40</v>
      </c>
      <c r="R310" s="15" t="s">
        <v>112</v>
      </c>
      <c r="S310" s="24">
        <f>2522465.75</f>
        <v>2522465.75</v>
      </c>
      <c r="T310" s="15"/>
      <c r="U310" s="7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</row>
    <row r="311" spans="1:148" ht="15">
      <c r="A311" s="14" t="s">
        <v>32</v>
      </c>
      <c r="B311" s="15"/>
      <c r="C311" s="15"/>
      <c r="D311" s="24">
        <f>0</f>
        <v>0</v>
      </c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24">
        <f>0</f>
        <v>0</v>
      </c>
      <c r="P311" s="24">
        <f>0</f>
        <v>0</v>
      </c>
      <c r="Q311" s="15" t="s">
        <v>40</v>
      </c>
      <c r="R311" s="15" t="s">
        <v>113</v>
      </c>
      <c r="S311" s="24">
        <f>2278356.16</f>
        <v>2278356.16</v>
      </c>
      <c r="T311" s="15"/>
      <c r="U311" s="7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</row>
    <row r="312" spans="1:148" ht="15">
      <c r="A312" s="14" t="s">
        <v>32</v>
      </c>
      <c r="B312" s="15"/>
      <c r="C312" s="15"/>
      <c r="D312" s="24">
        <f>0</f>
        <v>0</v>
      </c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24">
        <f>0</f>
        <v>0</v>
      </c>
      <c r="P312" s="24">
        <f>0</f>
        <v>0</v>
      </c>
      <c r="Q312" s="15" t="s">
        <v>40</v>
      </c>
      <c r="R312" s="15" t="s">
        <v>114</v>
      </c>
      <c r="S312" s="24">
        <f>2522465.75</f>
        <v>2522465.75</v>
      </c>
      <c r="T312" s="15"/>
      <c r="U312" s="7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</row>
    <row r="313" spans="1:148" ht="15">
      <c r="A313" s="14" t="s">
        <v>32</v>
      </c>
      <c r="B313" s="15"/>
      <c r="C313" s="15"/>
      <c r="D313" s="24">
        <f>0</f>
        <v>0</v>
      </c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24">
        <f>0</f>
        <v>0</v>
      </c>
      <c r="P313" s="24">
        <f>0</f>
        <v>0</v>
      </c>
      <c r="Q313" s="15" t="s">
        <v>40</v>
      </c>
      <c r="R313" s="15" t="s">
        <v>115</v>
      </c>
      <c r="S313" s="24">
        <f>2441095.89</f>
        <v>2441095.89</v>
      </c>
      <c r="T313" s="15"/>
      <c r="U313" s="7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</row>
    <row r="314" spans="1:148" ht="15">
      <c r="A314" s="14" t="s">
        <v>32</v>
      </c>
      <c r="B314" s="15"/>
      <c r="C314" s="15"/>
      <c r="D314" s="24">
        <f>0</f>
        <v>0</v>
      </c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24">
        <f>0</f>
        <v>0</v>
      </c>
      <c r="P314" s="24">
        <f>0</f>
        <v>0</v>
      </c>
      <c r="Q314" s="15" t="s">
        <v>40</v>
      </c>
      <c r="R314" s="15" t="s">
        <v>116</v>
      </c>
      <c r="S314" s="24">
        <f>2522465.75</f>
        <v>2522465.75</v>
      </c>
      <c r="T314" s="15"/>
      <c r="U314" s="7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</row>
    <row r="315" spans="1:148" ht="15">
      <c r="A315" s="14" t="s">
        <v>32</v>
      </c>
      <c r="B315" s="15"/>
      <c r="C315" s="15"/>
      <c r="D315" s="24">
        <f>0</f>
        <v>0</v>
      </c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24">
        <f>0</f>
        <v>0</v>
      </c>
      <c r="P315" s="24">
        <f>0</f>
        <v>0</v>
      </c>
      <c r="Q315" s="15" t="s">
        <v>40</v>
      </c>
      <c r="R315" s="15" t="s">
        <v>117</v>
      </c>
      <c r="S315" s="24">
        <f>2441095.89</f>
        <v>2441095.89</v>
      </c>
      <c r="T315" s="15"/>
      <c r="U315" s="7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</row>
    <row r="316" spans="1:148" ht="15">
      <c r="A316" s="14" t="s">
        <v>32</v>
      </c>
      <c r="B316" s="15"/>
      <c r="C316" s="15"/>
      <c r="D316" s="24">
        <f>0</f>
        <v>0</v>
      </c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24">
        <f>0</f>
        <v>0</v>
      </c>
      <c r="P316" s="24">
        <f>0</f>
        <v>0</v>
      </c>
      <c r="Q316" s="15" t="s">
        <v>40</v>
      </c>
      <c r="R316" s="15" t="s">
        <v>118</v>
      </c>
      <c r="S316" s="24">
        <f>2522465.75</f>
        <v>2522465.75</v>
      </c>
      <c r="T316" s="15"/>
      <c r="U316" s="7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</row>
    <row r="317" spans="1:148" ht="15">
      <c r="A317" s="14" t="s">
        <v>32</v>
      </c>
      <c r="B317" s="15"/>
      <c r="C317" s="15"/>
      <c r="D317" s="24">
        <f>0</f>
        <v>0</v>
      </c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24">
        <f>0</f>
        <v>0</v>
      </c>
      <c r="P317" s="24">
        <f>0</f>
        <v>0</v>
      </c>
      <c r="Q317" s="15" t="s">
        <v>40</v>
      </c>
      <c r="R317" s="15" t="s">
        <v>119</v>
      </c>
      <c r="S317" s="24">
        <f>2522465.75</f>
        <v>2522465.75</v>
      </c>
      <c r="T317" s="15"/>
      <c r="U317" s="7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</row>
    <row r="318" spans="1:148" ht="89.25">
      <c r="A318" s="11" t="s">
        <v>31</v>
      </c>
      <c r="B318" s="12" t="s">
        <v>149</v>
      </c>
      <c r="C318" s="13" t="s">
        <v>104</v>
      </c>
      <c r="D318" s="23">
        <f>183766800</f>
        <v>183766800</v>
      </c>
      <c r="E318" s="13" t="s">
        <v>75</v>
      </c>
      <c r="F318" s="13" t="s">
        <v>150</v>
      </c>
      <c r="G318" s="13" t="s">
        <v>36</v>
      </c>
      <c r="H318" s="13"/>
      <c r="I318" s="13" t="s">
        <v>151</v>
      </c>
      <c r="J318" s="13" t="s">
        <v>152</v>
      </c>
      <c r="K318" s="12" t="s">
        <v>94</v>
      </c>
      <c r="L318" s="13"/>
      <c r="M318" s="13"/>
      <c r="N318" s="13"/>
      <c r="O318" s="23">
        <f>0</f>
        <v>0</v>
      </c>
      <c r="P318" s="23">
        <f>183766800</f>
        <v>183766800</v>
      </c>
      <c r="Q318" s="13" t="s">
        <v>40</v>
      </c>
      <c r="R318" s="13" t="s">
        <v>110</v>
      </c>
      <c r="S318" s="23">
        <f>44937.51</f>
        <v>44937.51</v>
      </c>
      <c r="T318" s="13"/>
      <c r="U318" s="7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</row>
    <row r="319" spans="1:148" ht="15">
      <c r="A319" s="14" t="s">
        <v>32</v>
      </c>
      <c r="B319" s="15"/>
      <c r="C319" s="15"/>
      <c r="D319" s="24">
        <f>0</f>
        <v>0</v>
      </c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24">
        <f>0</f>
        <v>0</v>
      </c>
      <c r="P319" s="24">
        <f>0</f>
        <v>0</v>
      </c>
      <c r="Q319" s="15" t="s">
        <v>40</v>
      </c>
      <c r="R319" s="15" t="s">
        <v>111</v>
      </c>
      <c r="S319" s="24">
        <f>1395525.14</f>
        <v>1395525.14</v>
      </c>
      <c r="T319" s="15"/>
      <c r="U319" s="7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</row>
    <row r="320" spans="1:148" ht="15">
      <c r="A320" s="14" t="s">
        <v>32</v>
      </c>
      <c r="B320" s="15"/>
      <c r="C320" s="15"/>
      <c r="D320" s="24">
        <f>0</f>
        <v>0</v>
      </c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24">
        <f>0</f>
        <v>0</v>
      </c>
      <c r="P320" s="24">
        <f>0</f>
        <v>0</v>
      </c>
      <c r="Q320" s="15" t="s">
        <v>40</v>
      </c>
      <c r="R320" s="15" t="s">
        <v>112</v>
      </c>
      <c r="S320" s="24">
        <f>1396879.42</f>
        <v>1396879.42</v>
      </c>
      <c r="T320" s="15"/>
      <c r="U320" s="7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</row>
    <row r="321" spans="1:148" ht="15">
      <c r="A321" s="14" t="s">
        <v>32</v>
      </c>
      <c r="B321" s="15"/>
      <c r="C321" s="15"/>
      <c r="D321" s="24">
        <f>0</f>
        <v>0</v>
      </c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24">
        <f>0</f>
        <v>0</v>
      </c>
      <c r="P321" s="24">
        <f>0</f>
        <v>0</v>
      </c>
      <c r="Q321" s="15" t="s">
        <v>40</v>
      </c>
      <c r="R321" s="15" t="s">
        <v>113</v>
      </c>
      <c r="S321" s="24">
        <f>1261697.54</f>
        <v>1261697.54</v>
      </c>
      <c r="T321" s="15"/>
      <c r="U321" s="7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</row>
    <row r="322" spans="1:148" ht="15">
      <c r="A322" s="14" t="s">
        <v>32</v>
      </c>
      <c r="B322" s="15"/>
      <c r="C322" s="15"/>
      <c r="D322" s="24">
        <f>0</f>
        <v>0</v>
      </c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24">
        <f>0</f>
        <v>0</v>
      </c>
      <c r="P322" s="24">
        <f>0</f>
        <v>0</v>
      </c>
      <c r="Q322" s="15" t="s">
        <v>40</v>
      </c>
      <c r="R322" s="15" t="s">
        <v>114</v>
      </c>
      <c r="S322" s="24">
        <f>1396879.42</f>
        <v>1396879.42</v>
      </c>
      <c r="T322" s="15"/>
      <c r="U322" s="7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</row>
    <row r="323" spans="1:148" ht="15">
      <c r="A323" s="14" t="s">
        <v>32</v>
      </c>
      <c r="B323" s="15"/>
      <c r="C323" s="15"/>
      <c r="D323" s="24">
        <f>0</f>
        <v>0</v>
      </c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24">
        <f>0</f>
        <v>0</v>
      </c>
      <c r="P323" s="24">
        <f>0</f>
        <v>0</v>
      </c>
      <c r="Q323" s="15" t="s">
        <v>40</v>
      </c>
      <c r="R323" s="15" t="s">
        <v>115</v>
      </c>
      <c r="S323" s="24">
        <f>1351818.79</f>
        <v>1351818.79</v>
      </c>
      <c r="T323" s="15"/>
      <c r="U323" s="7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</row>
    <row r="324" spans="1:148" ht="15">
      <c r="A324" s="14" t="s">
        <v>32</v>
      </c>
      <c r="B324" s="15"/>
      <c r="C324" s="15"/>
      <c r="D324" s="24">
        <f>0</f>
        <v>0</v>
      </c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24">
        <f>0</f>
        <v>0</v>
      </c>
      <c r="P324" s="24">
        <f>0</f>
        <v>0</v>
      </c>
      <c r="Q324" s="15" t="s">
        <v>40</v>
      </c>
      <c r="R324" s="15" t="s">
        <v>116</v>
      </c>
      <c r="S324" s="24">
        <f>1396879.42</f>
        <v>1396879.42</v>
      </c>
      <c r="T324" s="15"/>
      <c r="U324" s="7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</row>
    <row r="325" spans="1:148" ht="15">
      <c r="A325" s="14" t="s">
        <v>32</v>
      </c>
      <c r="B325" s="15"/>
      <c r="C325" s="15"/>
      <c r="D325" s="24">
        <f>0</f>
        <v>0</v>
      </c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24">
        <f>0</f>
        <v>0</v>
      </c>
      <c r="P325" s="24">
        <f>0</f>
        <v>0</v>
      </c>
      <c r="Q325" s="15" t="s">
        <v>40</v>
      </c>
      <c r="R325" s="15" t="s">
        <v>117</v>
      </c>
      <c r="S325" s="24">
        <f>1351818.79</f>
        <v>1351818.79</v>
      </c>
      <c r="T325" s="15"/>
      <c r="U325" s="7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</row>
    <row r="326" spans="1:148" ht="15">
      <c r="A326" s="14" t="s">
        <v>32</v>
      </c>
      <c r="B326" s="15"/>
      <c r="C326" s="15"/>
      <c r="D326" s="24">
        <f>0</f>
        <v>0</v>
      </c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24">
        <f>0</f>
        <v>0</v>
      </c>
      <c r="P326" s="24">
        <f>0</f>
        <v>0</v>
      </c>
      <c r="Q326" s="15" t="s">
        <v>40</v>
      </c>
      <c r="R326" s="15" t="s">
        <v>118</v>
      </c>
      <c r="S326" s="24">
        <f>1396879.42</f>
        <v>1396879.42</v>
      </c>
      <c r="T326" s="15"/>
      <c r="U326" s="7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</row>
    <row r="327" spans="1:148" ht="15">
      <c r="A327" s="14" t="s">
        <v>32</v>
      </c>
      <c r="B327" s="15"/>
      <c r="C327" s="15"/>
      <c r="D327" s="24">
        <f>0</f>
        <v>0</v>
      </c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24">
        <f>0</f>
        <v>0</v>
      </c>
      <c r="P327" s="24">
        <f>0</f>
        <v>0</v>
      </c>
      <c r="Q327" s="15" t="s">
        <v>40</v>
      </c>
      <c r="R327" s="15" t="s">
        <v>119</v>
      </c>
      <c r="S327" s="24">
        <f>1396879.42</f>
        <v>1396879.42</v>
      </c>
      <c r="T327" s="15"/>
      <c r="U327" s="7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</row>
    <row r="328" spans="1:148" ht="89.25">
      <c r="A328" s="11" t="s">
        <v>31</v>
      </c>
      <c r="B328" s="12" t="s">
        <v>153</v>
      </c>
      <c r="C328" s="13" t="s">
        <v>154</v>
      </c>
      <c r="D328" s="23">
        <f>250000000</f>
        <v>250000000</v>
      </c>
      <c r="E328" s="13" t="s">
        <v>155</v>
      </c>
      <c r="F328" s="13" t="s">
        <v>156</v>
      </c>
      <c r="G328" s="13" t="s">
        <v>36</v>
      </c>
      <c r="H328" s="13"/>
      <c r="I328" s="13" t="s">
        <v>157</v>
      </c>
      <c r="J328" s="13" t="s">
        <v>158</v>
      </c>
      <c r="K328" s="13" t="s">
        <v>159</v>
      </c>
      <c r="L328" s="13"/>
      <c r="M328" s="13"/>
      <c r="N328" s="13"/>
      <c r="O328" s="23">
        <f>0</f>
        <v>0</v>
      </c>
      <c r="P328" s="23">
        <f>250000000</f>
        <v>250000000</v>
      </c>
      <c r="Q328" s="13" t="s">
        <v>40</v>
      </c>
      <c r="R328" s="13" t="s">
        <v>160</v>
      </c>
      <c r="S328" s="23">
        <f>935958.9</f>
        <v>935958.9</v>
      </c>
      <c r="T328" s="13"/>
      <c r="U328" s="7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</row>
    <row r="329" spans="1:148" ht="15">
      <c r="A329" s="14" t="s">
        <v>32</v>
      </c>
      <c r="B329" s="15"/>
      <c r="C329" s="15"/>
      <c r="D329" s="24">
        <f>0</f>
        <v>0</v>
      </c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24">
        <f>0</f>
        <v>0</v>
      </c>
      <c r="P329" s="24">
        <f>0</f>
        <v>0</v>
      </c>
      <c r="Q329" s="15" t="s">
        <v>40</v>
      </c>
      <c r="R329" s="15" t="s">
        <v>161</v>
      </c>
      <c r="S329" s="24">
        <f>1934315.07</f>
        <v>1934315.07</v>
      </c>
      <c r="T329" s="15"/>
      <c r="U329" s="7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</row>
    <row r="330" spans="1:148" ht="15">
      <c r="A330" s="14" t="s">
        <v>32</v>
      </c>
      <c r="B330" s="15"/>
      <c r="C330" s="15"/>
      <c r="D330" s="24">
        <f>0</f>
        <v>0</v>
      </c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24">
        <f>0</f>
        <v>0</v>
      </c>
      <c r="P330" s="24">
        <f>0</f>
        <v>0</v>
      </c>
      <c r="Q330" s="15" t="s">
        <v>40</v>
      </c>
      <c r="R330" s="15" t="s">
        <v>162</v>
      </c>
      <c r="S330" s="24">
        <f>1871917.81</f>
        <v>1871917.81</v>
      </c>
      <c r="T330" s="15"/>
      <c r="U330" s="7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</row>
    <row r="331" spans="1:148" ht="15">
      <c r="A331" s="14" t="s">
        <v>32</v>
      </c>
      <c r="B331" s="15"/>
      <c r="C331" s="15"/>
      <c r="D331" s="24">
        <f>0</f>
        <v>0</v>
      </c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24">
        <f>0</f>
        <v>0</v>
      </c>
      <c r="P331" s="24">
        <f>0</f>
        <v>0</v>
      </c>
      <c r="Q331" s="15" t="s">
        <v>40</v>
      </c>
      <c r="R331" s="15" t="s">
        <v>163</v>
      </c>
      <c r="S331" s="24">
        <f>1934315.07</f>
        <v>1934315.07</v>
      </c>
      <c r="T331" s="15"/>
      <c r="U331" s="7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</row>
    <row r="332" spans="1:148" ht="15">
      <c r="A332" s="14" t="s">
        <v>32</v>
      </c>
      <c r="B332" s="15"/>
      <c r="C332" s="15"/>
      <c r="D332" s="24">
        <f>0</f>
        <v>0</v>
      </c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24">
        <f>0</f>
        <v>0</v>
      </c>
      <c r="P332" s="24">
        <f>0</f>
        <v>0</v>
      </c>
      <c r="Q332" s="15" t="s">
        <v>40</v>
      </c>
      <c r="R332" s="15" t="s">
        <v>164</v>
      </c>
      <c r="S332" s="24">
        <f>1871917.81</f>
        <v>1871917.81</v>
      </c>
      <c r="T332" s="15"/>
      <c r="U332" s="7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</row>
    <row r="333" spans="1:148" ht="15">
      <c r="A333" s="14" t="s">
        <v>32</v>
      </c>
      <c r="B333" s="15"/>
      <c r="C333" s="15"/>
      <c r="D333" s="24">
        <f>0</f>
        <v>0</v>
      </c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24">
        <f>0</f>
        <v>0</v>
      </c>
      <c r="P333" s="24">
        <f>0</f>
        <v>0</v>
      </c>
      <c r="Q333" s="15" t="s">
        <v>40</v>
      </c>
      <c r="R333" s="15" t="s">
        <v>165</v>
      </c>
      <c r="S333" s="24">
        <f>1829520.55</f>
        <v>1829520.55</v>
      </c>
      <c r="T333" s="15"/>
      <c r="U333" s="7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</row>
    <row r="334" spans="1:148" ht="15">
      <c r="A334" s="14" t="s">
        <v>32</v>
      </c>
      <c r="B334" s="15"/>
      <c r="C334" s="15"/>
      <c r="D334" s="24">
        <f>0</f>
        <v>0</v>
      </c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24">
        <f>0</f>
        <v>0</v>
      </c>
      <c r="P334" s="24">
        <f>0</f>
        <v>0</v>
      </c>
      <c r="Q334" s="15" t="s">
        <v>40</v>
      </c>
      <c r="R334" s="15" t="s">
        <v>166</v>
      </c>
      <c r="S334" s="24">
        <f>1826027.4</f>
        <v>1826027.4</v>
      </c>
      <c r="T334" s="15"/>
      <c r="U334" s="7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</row>
    <row r="335" spans="1:148" ht="15">
      <c r="A335" s="14" t="s">
        <v>32</v>
      </c>
      <c r="B335" s="15"/>
      <c r="C335" s="15"/>
      <c r="D335" s="24">
        <f>0</f>
        <v>0</v>
      </c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24">
        <f>0</f>
        <v>0</v>
      </c>
      <c r="P335" s="24">
        <f>0</f>
        <v>0</v>
      </c>
      <c r="Q335" s="15" t="s">
        <v>40</v>
      </c>
      <c r="R335" s="15" t="s">
        <v>167</v>
      </c>
      <c r="S335" s="24">
        <f>1767123.29</f>
        <v>1767123.29</v>
      </c>
      <c r="T335" s="15"/>
      <c r="U335" s="7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</row>
    <row r="336" spans="1:148" ht="89.25">
      <c r="A336" s="11" t="s">
        <v>31</v>
      </c>
      <c r="B336" s="12" t="s">
        <v>168</v>
      </c>
      <c r="C336" s="13" t="s">
        <v>33</v>
      </c>
      <c r="D336" s="23">
        <f>200000000</f>
        <v>200000000</v>
      </c>
      <c r="E336" s="13" t="s">
        <v>155</v>
      </c>
      <c r="F336" s="13" t="s">
        <v>169</v>
      </c>
      <c r="G336" s="13" t="s">
        <v>36</v>
      </c>
      <c r="H336" s="13"/>
      <c r="I336" s="13" t="s">
        <v>170</v>
      </c>
      <c r="J336" s="13" t="s">
        <v>171</v>
      </c>
      <c r="K336" s="12" t="s">
        <v>146</v>
      </c>
      <c r="L336" s="13"/>
      <c r="M336" s="13"/>
      <c r="N336" s="13"/>
      <c r="O336" s="23">
        <f>0</f>
        <v>0</v>
      </c>
      <c r="P336" s="23">
        <f>200000000</f>
        <v>200000000</v>
      </c>
      <c r="Q336" s="13" t="s">
        <v>40</v>
      </c>
      <c r="R336" s="13" t="s">
        <v>56</v>
      </c>
      <c r="S336" s="23">
        <f>641095.89</f>
        <v>641095.89</v>
      </c>
      <c r="T336" s="13"/>
      <c r="U336" s="7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</row>
    <row r="337" spans="1:148" ht="15">
      <c r="A337" s="14" t="s">
        <v>32</v>
      </c>
      <c r="B337" s="15"/>
      <c r="C337" s="15"/>
      <c r="D337" s="24">
        <f>0</f>
        <v>0</v>
      </c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24">
        <f>0</f>
        <v>0</v>
      </c>
      <c r="P337" s="24">
        <f>0</f>
        <v>0</v>
      </c>
      <c r="Q337" s="15" t="s">
        <v>40</v>
      </c>
      <c r="R337" s="15" t="s">
        <v>57</v>
      </c>
      <c r="S337" s="24">
        <f>1528767.12</f>
        <v>1528767.12</v>
      </c>
      <c r="T337" s="15"/>
      <c r="U337" s="7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</row>
    <row r="338" spans="1:148" ht="15">
      <c r="A338" s="14" t="s">
        <v>32</v>
      </c>
      <c r="B338" s="15"/>
      <c r="C338" s="15"/>
      <c r="D338" s="24">
        <f>0</f>
        <v>0</v>
      </c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24">
        <f>0</f>
        <v>0</v>
      </c>
      <c r="P338" s="24">
        <f>0</f>
        <v>0</v>
      </c>
      <c r="Q338" s="15" t="s">
        <v>40</v>
      </c>
      <c r="R338" s="15" t="s">
        <v>58</v>
      </c>
      <c r="S338" s="24">
        <f>1479452.05</f>
        <v>1479452.05</v>
      </c>
      <c r="T338" s="15"/>
      <c r="U338" s="7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</row>
    <row r="339" spans="1:148" ht="15">
      <c r="A339" s="14" t="s">
        <v>32</v>
      </c>
      <c r="B339" s="15"/>
      <c r="C339" s="15"/>
      <c r="D339" s="24">
        <f>0</f>
        <v>0</v>
      </c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24">
        <f>0</f>
        <v>0</v>
      </c>
      <c r="P339" s="24">
        <f>0</f>
        <v>0</v>
      </c>
      <c r="Q339" s="15" t="s">
        <v>40</v>
      </c>
      <c r="R339" s="15" t="s">
        <v>72</v>
      </c>
      <c r="S339" s="24">
        <f>1528767.12</f>
        <v>1528767.12</v>
      </c>
      <c r="T339" s="15"/>
      <c r="U339" s="7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</row>
    <row r="340" spans="1:148" ht="15">
      <c r="A340" s="14" t="s">
        <v>32</v>
      </c>
      <c r="B340" s="15"/>
      <c r="C340" s="15"/>
      <c r="D340" s="24">
        <f>0</f>
        <v>0</v>
      </c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24">
        <f>0</f>
        <v>0</v>
      </c>
      <c r="P340" s="24">
        <f>0</f>
        <v>0</v>
      </c>
      <c r="Q340" s="15" t="s">
        <v>40</v>
      </c>
      <c r="R340" s="15" t="s">
        <v>84</v>
      </c>
      <c r="S340" s="24">
        <f>1479452.05</f>
        <v>1479452.05</v>
      </c>
      <c r="T340" s="15"/>
      <c r="U340" s="7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</row>
    <row r="341" spans="1:148" ht="15">
      <c r="A341" s="14" t="s">
        <v>32</v>
      </c>
      <c r="B341" s="15"/>
      <c r="C341" s="15"/>
      <c r="D341" s="24">
        <f>0</f>
        <v>0</v>
      </c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24">
        <f>0</f>
        <v>0</v>
      </c>
      <c r="P341" s="24">
        <f>0</f>
        <v>0</v>
      </c>
      <c r="Q341" s="15" t="s">
        <v>40</v>
      </c>
      <c r="R341" s="15" t="s">
        <v>85</v>
      </c>
      <c r="S341" s="24">
        <f>1528767.12</f>
        <v>1528767.12</v>
      </c>
      <c r="T341" s="15"/>
      <c r="U341" s="7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</row>
    <row r="342" spans="1:148" ht="15">
      <c r="A342" s="14" t="s">
        <v>32</v>
      </c>
      <c r="B342" s="15"/>
      <c r="C342" s="15"/>
      <c r="D342" s="24">
        <f>0</f>
        <v>0</v>
      </c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24">
        <f>0</f>
        <v>0</v>
      </c>
      <c r="P342" s="24">
        <f>0</f>
        <v>0</v>
      </c>
      <c r="Q342" s="15" t="s">
        <v>40</v>
      </c>
      <c r="R342" s="15" t="s">
        <v>86</v>
      </c>
      <c r="S342" s="24">
        <f>1528767.12</f>
        <v>1528767.12</v>
      </c>
      <c r="T342" s="15"/>
      <c r="U342" s="7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</row>
    <row r="343" spans="1:148" ht="89.25">
      <c r="A343" s="11" t="s">
        <v>31</v>
      </c>
      <c r="B343" s="12" t="s">
        <v>172</v>
      </c>
      <c r="C343" s="13" t="s">
        <v>33</v>
      </c>
      <c r="D343" s="23">
        <f>101510000</f>
        <v>101510000</v>
      </c>
      <c r="E343" s="13" t="s">
        <v>155</v>
      </c>
      <c r="F343" s="13" t="s">
        <v>173</v>
      </c>
      <c r="G343" s="13" t="s">
        <v>36</v>
      </c>
      <c r="H343" s="13"/>
      <c r="I343" s="13" t="s">
        <v>113</v>
      </c>
      <c r="J343" s="13" t="s">
        <v>174</v>
      </c>
      <c r="K343" s="12" t="s">
        <v>146</v>
      </c>
      <c r="L343" s="13"/>
      <c r="M343" s="13"/>
      <c r="N343" s="13"/>
      <c r="O343" s="23">
        <f>0</f>
        <v>0</v>
      </c>
      <c r="P343" s="23">
        <f>101510000</f>
        <v>101510000</v>
      </c>
      <c r="Q343" s="13" t="s">
        <v>40</v>
      </c>
      <c r="R343" s="13" t="s">
        <v>56</v>
      </c>
      <c r="S343" s="23">
        <f>150179.18</f>
        <v>150179.18</v>
      </c>
      <c r="T343" s="13"/>
      <c r="U343" s="7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</row>
    <row r="344" spans="1:148" ht="15">
      <c r="A344" s="14" t="s">
        <v>32</v>
      </c>
      <c r="B344" s="15"/>
      <c r="C344" s="15"/>
      <c r="D344" s="24">
        <f>0</f>
        <v>0</v>
      </c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24">
        <f>0</f>
        <v>0</v>
      </c>
      <c r="P344" s="24">
        <f>0</f>
        <v>0</v>
      </c>
      <c r="Q344" s="15" t="s">
        <v>40</v>
      </c>
      <c r="R344" s="15" t="s">
        <v>57</v>
      </c>
      <c r="S344" s="24">
        <f>775925.75</f>
        <v>775925.75</v>
      </c>
      <c r="T344" s="15"/>
      <c r="U344" s="7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</row>
    <row r="345" spans="1:148" ht="15">
      <c r="A345" s="14" t="s">
        <v>32</v>
      </c>
      <c r="B345" s="15"/>
      <c r="C345" s="15"/>
      <c r="D345" s="24">
        <f>0</f>
        <v>0</v>
      </c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24">
        <f>0</f>
        <v>0</v>
      </c>
      <c r="P345" s="24">
        <f>0</f>
        <v>0</v>
      </c>
      <c r="Q345" s="15" t="s">
        <v>40</v>
      </c>
      <c r="R345" s="15" t="s">
        <v>58</v>
      </c>
      <c r="S345" s="24">
        <f>750895.89</f>
        <v>750895.89</v>
      </c>
      <c r="T345" s="15"/>
      <c r="U345" s="7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</row>
    <row r="346" spans="1:148" ht="15">
      <c r="A346" s="14" t="s">
        <v>32</v>
      </c>
      <c r="B346" s="15"/>
      <c r="C346" s="15"/>
      <c r="D346" s="24">
        <f>0</f>
        <v>0</v>
      </c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24">
        <f>0</f>
        <v>0</v>
      </c>
      <c r="P346" s="24">
        <f>0</f>
        <v>0</v>
      </c>
      <c r="Q346" s="15" t="s">
        <v>40</v>
      </c>
      <c r="R346" s="15" t="s">
        <v>72</v>
      </c>
      <c r="S346" s="24">
        <f>775925.75</f>
        <v>775925.75</v>
      </c>
      <c r="T346" s="15"/>
      <c r="U346" s="7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</row>
    <row r="347" spans="1:148" ht="15">
      <c r="A347" s="14" t="s">
        <v>32</v>
      </c>
      <c r="B347" s="15"/>
      <c r="C347" s="15"/>
      <c r="D347" s="24">
        <f>0</f>
        <v>0</v>
      </c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24">
        <f>0</f>
        <v>0</v>
      </c>
      <c r="P347" s="24">
        <f>0</f>
        <v>0</v>
      </c>
      <c r="Q347" s="15" t="s">
        <v>40</v>
      </c>
      <c r="R347" s="15" t="s">
        <v>84</v>
      </c>
      <c r="S347" s="24">
        <f>750895.89</f>
        <v>750895.89</v>
      </c>
      <c r="T347" s="15"/>
      <c r="U347" s="7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</row>
    <row r="348" spans="1:148" ht="15">
      <c r="A348" s="14" t="s">
        <v>32</v>
      </c>
      <c r="B348" s="15"/>
      <c r="C348" s="15"/>
      <c r="D348" s="24">
        <f>0</f>
        <v>0</v>
      </c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24">
        <f>0</f>
        <v>0</v>
      </c>
      <c r="P348" s="24">
        <f>0</f>
        <v>0</v>
      </c>
      <c r="Q348" s="15" t="s">
        <v>40</v>
      </c>
      <c r="R348" s="15" t="s">
        <v>85</v>
      </c>
      <c r="S348" s="24">
        <f>775925.75</f>
        <v>775925.75</v>
      </c>
      <c r="T348" s="15"/>
      <c r="U348" s="7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</row>
    <row r="349" spans="1:148" ht="15">
      <c r="A349" s="14" t="s">
        <v>32</v>
      </c>
      <c r="B349" s="15"/>
      <c r="C349" s="15"/>
      <c r="D349" s="24">
        <f>0</f>
        <v>0</v>
      </c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24">
        <f>0</f>
        <v>0</v>
      </c>
      <c r="P349" s="24">
        <f>0</f>
        <v>0</v>
      </c>
      <c r="Q349" s="15" t="s">
        <v>40</v>
      </c>
      <c r="R349" s="15" t="s">
        <v>86</v>
      </c>
      <c r="S349" s="24">
        <f>775925.75</f>
        <v>775925.75</v>
      </c>
      <c r="T349" s="15"/>
      <c r="U349" s="7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</row>
    <row r="350" spans="1:148" ht="89.25">
      <c r="A350" s="11" t="s">
        <v>31</v>
      </c>
      <c r="B350" s="12" t="s">
        <v>175</v>
      </c>
      <c r="C350" s="13" t="s">
        <v>104</v>
      </c>
      <c r="D350" s="23">
        <f>150000000</f>
        <v>150000000</v>
      </c>
      <c r="E350" s="13" t="s">
        <v>155</v>
      </c>
      <c r="F350" s="13" t="s">
        <v>176</v>
      </c>
      <c r="G350" s="13" t="s">
        <v>36</v>
      </c>
      <c r="H350" s="13"/>
      <c r="I350" s="13" t="s">
        <v>113</v>
      </c>
      <c r="J350" s="13" t="s">
        <v>174</v>
      </c>
      <c r="K350" s="12" t="s">
        <v>177</v>
      </c>
      <c r="L350" s="13"/>
      <c r="M350" s="13"/>
      <c r="N350" s="13"/>
      <c r="O350" s="23">
        <f>0</f>
        <v>0</v>
      </c>
      <c r="P350" s="23">
        <f>0</f>
        <v>0</v>
      </c>
      <c r="Q350" s="13" t="s">
        <v>40</v>
      </c>
      <c r="R350" s="13" t="s">
        <v>161</v>
      </c>
      <c r="S350" s="23">
        <f>304109.59</f>
        <v>304109.59</v>
      </c>
      <c r="T350" s="13"/>
      <c r="U350" s="7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</row>
    <row r="351" spans="1:148" ht="15">
      <c r="A351" s="14" t="s">
        <v>32</v>
      </c>
      <c r="B351" s="15"/>
      <c r="C351" s="15"/>
      <c r="D351" s="24">
        <f>0</f>
        <v>0</v>
      </c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24">
        <f>0</f>
        <v>0</v>
      </c>
      <c r="P351" s="24">
        <f>0</f>
        <v>0</v>
      </c>
      <c r="Q351" s="15" t="s">
        <v>40</v>
      </c>
      <c r="R351" s="15" t="s">
        <v>114</v>
      </c>
      <c r="S351" s="24">
        <f>836301.37</f>
        <v>836301.37</v>
      </c>
      <c r="T351" s="15"/>
      <c r="U351" s="7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</row>
    <row r="352" spans="1:148" ht="15">
      <c r="A352" s="14" t="s">
        <v>32</v>
      </c>
      <c r="B352" s="15"/>
      <c r="C352" s="15"/>
      <c r="D352" s="24">
        <f>0</f>
        <v>0</v>
      </c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24">
        <f>0</f>
        <v>0</v>
      </c>
      <c r="P352" s="24">
        <f>0</f>
        <v>0</v>
      </c>
      <c r="Q352" s="15" t="s">
        <v>40</v>
      </c>
      <c r="R352" s="15" t="s">
        <v>115</v>
      </c>
      <c r="S352" s="24">
        <f>1140410.96</f>
        <v>1140410.96</v>
      </c>
      <c r="T352" s="15"/>
      <c r="U352" s="7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</row>
    <row r="353" spans="1:148" ht="15">
      <c r="A353" s="14" t="s">
        <v>32</v>
      </c>
      <c r="B353" s="15"/>
      <c r="C353" s="15"/>
      <c r="D353" s="24">
        <f>0</f>
        <v>0</v>
      </c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24">
        <f>0</f>
        <v>0</v>
      </c>
      <c r="P353" s="24">
        <f>0</f>
        <v>0</v>
      </c>
      <c r="Q353" s="15" t="s">
        <v>40</v>
      </c>
      <c r="R353" s="15" t="s">
        <v>116</v>
      </c>
      <c r="S353" s="24">
        <f>1178424.66</f>
        <v>1178424.66</v>
      </c>
      <c r="T353" s="15"/>
      <c r="U353" s="7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</row>
    <row r="354" spans="1:148" ht="15">
      <c r="A354" s="14" t="s">
        <v>32</v>
      </c>
      <c r="B354" s="15"/>
      <c r="C354" s="15"/>
      <c r="D354" s="24">
        <f>0</f>
        <v>0</v>
      </c>
      <c r="E354" s="15"/>
      <c r="F354" s="15"/>
      <c r="G354" s="15"/>
      <c r="H354" s="15"/>
      <c r="I354" s="15"/>
      <c r="J354" s="15"/>
      <c r="K354" s="15"/>
      <c r="L354" s="15"/>
      <c r="M354" s="15"/>
      <c r="N354" s="15" t="s">
        <v>73</v>
      </c>
      <c r="O354" s="24">
        <f>150000000</f>
        <v>150000000</v>
      </c>
      <c r="P354" s="24">
        <f>0</f>
        <v>0</v>
      </c>
      <c r="Q354" s="15" t="s">
        <v>40</v>
      </c>
      <c r="R354" s="15" t="s">
        <v>73</v>
      </c>
      <c r="S354" s="24">
        <f>456164.39</f>
        <v>456164.39</v>
      </c>
      <c r="T354" s="15"/>
      <c r="U354" s="7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</row>
    <row r="355" spans="1:148" ht="89.25">
      <c r="A355" s="11" t="s">
        <v>31</v>
      </c>
      <c r="B355" s="12" t="s">
        <v>178</v>
      </c>
      <c r="C355" s="13" t="s">
        <v>33</v>
      </c>
      <c r="D355" s="23">
        <f>360000000</f>
        <v>360000000</v>
      </c>
      <c r="E355" s="13" t="s">
        <v>155</v>
      </c>
      <c r="F355" s="13" t="s">
        <v>179</v>
      </c>
      <c r="G355" s="13" t="s">
        <v>36</v>
      </c>
      <c r="H355" s="13"/>
      <c r="I355" s="13" t="s">
        <v>180</v>
      </c>
      <c r="J355" s="13" t="s">
        <v>181</v>
      </c>
      <c r="K355" s="12" t="s">
        <v>182</v>
      </c>
      <c r="L355" s="13"/>
      <c r="M355" s="13"/>
      <c r="N355" s="13"/>
      <c r="O355" s="23">
        <f>0</f>
        <v>0</v>
      </c>
      <c r="P355" s="23">
        <f>360000000</f>
        <v>360000000</v>
      </c>
      <c r="Q355" s="13" t="s">
        <v>40</v>
      </c>
      <c r="R355" s="13" t="s">
        <v>72</v>
      </c>
      <c r="S355" s="23">
        <f>1348076.71</f>
        <v>1348076.71</v>
      </c>
      <c r="T355" s="13"/>
      <c r="U355" s="7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</row>
    <row r="356" spans="1:148" ht="15">
      <c r="A356" s="14" t="s">
        <v>32</v>
      </c>
      <c r="B356" s="15"/>
      <c r="C356" s="15"/>
      <c r="D356" s="24">
        <f>0</f>
        <v>0</v>
      </c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24">
        <f>0</f>
        <v>0</v>
      </c>
      <c r="P356" s="24">
        <f>0</f>
        <v>0</v>
      </c>
      <c r="Q356" s="15" t="s">
        <v>40</v>
      </c>
      <c r="R356" s="15" t="s">
        <v>84</v>
      </c>
      <c r="S356" s="24">
        <f>2378958.9</f>
        <v>2378958.9</v>
      </c>
      <c r="T356" s="15"/>
      <c r="U356" s="7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</row>
    <row r="357" spans="1:148" ht="15">
      <c r="A357" s="14" t="s">
        <v>32</v>
      </c>
      <c r="B357" s="15"/>
      <c r="C357" s="15"/>
      <c r="D357" s="24">
        <f>0</f>
        <v>0</v>
      </c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24">
        <f>0</f>
        <v>0</v>
      </c>
      <c r="P357" s="24">
        <f>0</f>
        <v>0</v>
      </c>
      <c r="Q357" s="15" t="s">
        <v>40</v>
      </c>
      <c r="R357" s="15" t="s">
        <v>85</v>
      </c>
      <c r="S357" s="24">
        <f>2458257.53</f>
        <v>2458257.53</v>
      </c>
      <c r="T357" s="15"/>
      <c r="U357" s="7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</row>
    <row r="358" spans="1:148" ht="15">
      <c r="A358" s="14" t="s">
        <v>32</v>
      </c>
      <c r="B358" s="15"/>
      <c r="C358" s="15"/>
      <c r="D358" s="24">
        <f>0</f>
        <v>0</v>
      </c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24">
        <f>0</f>
        <v>0</v>
      </c>
      <c r="P358" s="24">
        <f>0</f>
        <v>0</v>
      </c>
      <c r="Q358" s="15" t="s">
        <v>40</v>
      </c>
      <c r="R358" s="15" t="s">
        <v>86</v>
      </c>
      <c r="S358" s="24">
        <f>2458257.53</f>
        <v>2458257.53</v>
      </c>
      <c r="T358" s="15"/>
      <c r="U358" s="7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</row>
    <row r="359" spans="1:148" ht="89.25">
      <c r="A359" s="11" t="s">
        <v>31</v>
      </c>
      <c r="B359" s="12" t="s">
        <v>183</v>
      </c>
      <c r="C359" s="13" t="s">
        <v>33</v>
      </c>
      <c r="D359" s="23">
        <f>360000000</f>
        <v>360000000</v>
      </c>
      <c r="E359" s="13" t="s">
        <v>155</v>
      </c>
      <c r="F359" s="13" t="s">
        <v>184</v>
      </c>
      <c r="G359" s="13" t="s">
        <v>36</v>
      </c>
      <c r="H359" s="13"/>
      <c r="I359" s="13" t="s">
        <v>180</v>
      </c>
      <c r="J359" s="13" t="s">
        <v>181</v>
      </c>
      <c r="K359" s="12" t="s">
        <v>182</v>
      </c>
      <c r="L359" s="13"/>
      <c r="M359" s="13"/>
      <c r="N359" s="13"/>
      <c r="O359" s="23">
        <f>0</f>
        <v>0</v>
      </c>
      <c r="P359" s="23">
        <f>360000000</f>
        <v>360000000</v>
      </c>
      <c r="Q359" s="13" t="s">
        <v>40</v>
      </c>
      <c r="R359" s="13" t="s">
        <v>72</v>
      </c>
      <c r="S359" s="23">
        <f>1348076.71</f>
        <v>1348076.71</v>
      </c>
      <c r="T359" s="13"/>
      <c r="U359" s="7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</row>
    <row r="360" spans="1:148" ht="15">
      <c r="A360" s="14" t="s">
        <v>32</v>
      </c>
      <c r="B360" s="15"/>
      <c r="C360" s="15"/>
      <c r="D360" s="24">
        <f>0</f>
        <v>0</v>
      </c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24">
        <f>0</f>
        <v>0</v>
      </c>
      <c r="P360" s="24">
        <f>0</f>
        <v>0</v>
      </c>
      <c r="Q360" s="15" t="s">
        <v>40</v>
      </c>
      <c r="R360" s="15" t="s">
        <v>84</v>
      </c>
      <c r="S360" s="24">
        <f>2378958.9</f>
        <v>2378958.9</v>
      </c>
      <c r="T360" s="15"/>
      <c r="U360" s="7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</row>
    <row r="361" spans="1:148" ht="15">
      <c r="A361" s="14" t="s">
        <v>32</v>
      </c>
      <c r="B361" s="15"/>
      <c r="C361" s="15"/>
      <c r="D361" s="24">
        <f>0</f>
        <v>0</v>
      </c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24">
        <f>0</f>
        <v>0</v>
      </c>
      <c r="P361" s="24">
        <f>0</f>
        <v>0</v>
      </c>
      <c r="Q361" s="15" t="s">
        <v>40</v>
      </c>
      <c r="R361" s="15" t="s">
        <v>85</v>
      </c>
      <c r="S361" s="24">
        <f>2458257.53</f>
        <v>2458257.53</v>
      </c>
      <c r="T361" s="15"/>
      <c r="U361" s="7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</row>
    <row r="362" spans="1:148" ht="15">
      <c r="A362" s="14" t="s">
        <v>32</v>
      </c>
      <c r="B362" s="15"/>
      <c r="C362" s="15"/>
      <c r="D362" s="24">
        <f>0</f>
        <v>0</v>
      </c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24">
        <f>0</f>
        <v>0</v>
      </c>
      <c r="P362" s="24">
        <f>0</f>
        <v>0</v>
      </c>
      <c r="Q362" s="15" t="s">
        <v>40</v>
      </c>
      <c r="R362" s="15" t="s">
        <v>86</v>
      </c>
      <c r="S362" s="24">
        <f>2458257.53</f>
        <v>2458257.53</v>
      </c>
      <c r="T362" s="15"/>
      <c r="U362" s="7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</row>
    <row r="363" spans="1:148" ht="89.25">
      <c r="A363" s="11" t="s">
        <v>31</v>
      </c>
      <c r="B363" s="12" t="s">
        <v>185</v>
      </c>
      <c r="C363" s="13" t="s">
        <v>33</v>
      </c>
      <c r="D363" s="23">
        <f>310000000</f>
        <v>310000000</v>
      </c>
      <c r="E363" s="13" t="s">
        <v>155</v>
      </c>
      <c r="F363" s="13" t="s">
        <v>186</v>
      </c>
      <c r="G363" s="13" t="s">
        <v>36</v>
      </c>
      <c r="H363" s="13"/>
      <c r="I363" s="13" t="s">
        <v>187</v>
      </c>
      <c r="J363" s="13" t="s">
        <v>188</v>
      </c>
      <c r="K363" s="12" t="s">
        <v>83</v>
      </c>
      <c r="L363" s="13"/>
      <c r="M363" s="13"/>
      <c r="N363" s="13"/>
      <c r="O363" s="23">
        <f>0</f>
        <v>0</v>
      </c>
      <c r="P363" s="23">
        <f>310000000</f>
        <v>310000000</v>
      </c>
      <c r="Q363" s="13" t="s">
        <v>40</v>
      </c>
      <c r="R363" s="13" t="s">
        <v>72</v>
      </c>
      <c r="S363" s="23">
        <f>1015441.1</f>
        <v>1015441.1</v>
      </c>
      <c r="T363" s="13"/>
      <c r="U363" s="7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</row>
    <row r="364" spans="1:148" ht="15">
      <c r="A364" s="14" t="s">
        <v>32</v>
      </c>
      <c r="B364" s="15"/>
      <c r="C364" s="15"/>
      <c r="D364" s="24">
        <f>0</f>
        <v>0</v>
      </c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24">
        <f>0</f>
        <v>0</v>
      </c>
      <c r="P364" s="24">
        <f>0</f>
        <v>0</v>
      </c>
      <c r="Q364" s="15" t="s">
        <v>40</v>
      </c>
      <c r="R364" s="15" t="s">
        <v>84</v>
      </c>
      <c r="S364" s="24">
        <f>2175945.21</f>
        <v>2175945.21</v>
      </c>
      <c r="T364" s="15"/>
      <c r="U364" s="7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</row>
    <row r="365" spans="1:148" ht="15">
      <c r="A365" s="14" t="s">
        <v>32</v>
      </c>
      <c r="B365" s="15"/>
      <c r="C365" s="15"/>
      <c r="D365" s="24">
        <f>0</f>
        <v>0</v>
      </c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24">
        <f>0</f>
        <v>0</v>
      </c>
      <c r="P365" s="24">
        <f>0</f>
        <v>0</v>
      </c>
      <c r="Q365" s="15" t="s">
        <v>40</v>
      </c>
      <c r="R365" s="15" t="s">
        <v>85</v>
      </c>
      <c r="S365" s="24">
        <f>2248476.71</f>
        <v>2248476.71</v>
      </c>
      <c r="T365" s="15"/>
      <c r="U365" s="7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</row>
    <row r="366" spans="1:148" ht="15">
      <c r="A366" s="14" t="s">
        <v>32</v>
      </c>
      <c r="B366" s="15"/>
      <c r="C366" s="15"/>
      <c r="D366" s="24">
        <f>0</f>
        <v>0</v>
      </c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24">
        <f>0</f>
        <v>0</v>
      </c>
      <c r="P366" s="24">
        <f>0</f>
        <v>0</v>
      </c>
      <c r="Q366" s="15" t="s">
        <v>40</v>
      </c>
      <c r="R366" s="15" t="s">
        <v>86</v>
      </c>
      <c r="S366" s="24">
        <f>2248476.71</f>
        <v>2248476.71</v>
      </c>
      <c r="T366" s="15"/>
      <c r="U366" s="7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</row>
    <row r="367" spans="1:148" ht="89.25">
      <c r="A367" s="11" t="s">
        <v>31</v>
      </c>
      <c r="B367" s="12" t="s">
        <v>189</v>
      </c>
      <c r="C367" s="13" t="s">
        <v>33</v>
      </c>
      <c r="D367" s="23">
        <f>360000000</f>
        <v>360000000</v>
      </c>
      <c r="E367" s="13" t="s">
        <v>155</v>
      </c>
      <c r="F367" s="13" t="s">
        <v>190</v>
      </c>
      <c r="G367" s="13" t="s">
        <v>36</v>
      </c>
      <c r="H367" s="13"/>
      <c r="I367" s="13" t="s">
        <v>191</v>
      </c>
      <c r="J367" s="13" t="s">
        <v>192</v>
      </c>
      <c r="K367" s="12" t="s">
        <v>193</v>
      </c>
      <c r="L367" s="13"/>
      <c r="M367" s="13"/>
      <c r="N367" s="13"/>
      <c r="O367" s="23">
        <f>0</f>
        <v>0</v>
      </c>
      <c r="P367" s="23">
        <f>360000000</f>
        <v>360000000</v>
      </c>
      <c r="Q367" s="13" t="s">
        <v>40</v>
      </c>
      <c r="R367" s="13" t="s">
        <v>72</v>
      </c>
      <c r="S367" s="23">
        <f>254465.75</f>
        <v>254465.75</v>
      </c>
      <c r="T367" s="13"/>
      <c r="U367" s="7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</row>
    <row r="368" spans="1:148" ht="15">
      <c r="A368" s="14" t="s">
        <v>32</v>
      </c>
      <c r="B368" s="15"/>
      <c r="C368" s="15"/>
      <c r="D368" s="24">
        <f>0</f>
        <v>0</v>
      </c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24">
        <f>0</f>
        <v>0</v>
      </c>
      <c r="P368" s="24">
        <f>0</f>
        <v>0</v>
      </c>
      <c r="Q368" s="15" t="s">
        <v>40</v>
      </c>
      <c r="R368" s="15" t="s">
        <v>84</v>
      </c>
      <c r="S368" s="24">
        <f>2544657.53</f>
        <v>2544657.53</v>
      </c>
      <c r="T368" s="15"/>
      <c r="U368" s="7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</row>
    <row r="369" spans="1:148" ht="15">
      <c r="A369" s="14" t="s">
        <v>32</v>
      </c>
      <c r="B369" s="15"/>
      <c r="C369" s="15"/>
      <c r="D369" s="24">
        <f>0</f>
        <v>0</v>
      </c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24">
        <f>0</f>
        <v>0</v>
      </c>
      <c r="P369" s="24">
        <f>0</f>
        <v>0</v>
      </c>
      <c r="Q369" s="15" t="s">
        <v>40</v>
      </c>
      <c r="R369" s="15" t="s">
        <v>85</v>
      </c>
      <c r="S369" s="24">
        <f>2629479.45</f>
        <v>2629479.45</v>
      </c>
      <c r="T369" s="15"/>
      <c r="U369" s="7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</row>
    <row r="370" spans="1:148" ht="15">
      <c r="A370" s="14" t="s">
        <v>32</v>
      </c>
      <c r="B370" s="15"/>
      <c r="C370" s="15"/>
      <c r="D370" s="24">
        <f>0</f>
        <v>0</v>
      </c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24">
        <f>0</f>
        <v>0</v>
      </c>
      <c r="P370" s="24">
        <f>0</f>
        <v>0</v>
      </c>
      <c r="Q370" s="15" t="s">
        <v>40</v>
      </c>
      <c r="R370" s="15" t="s">
        <v>86</v>
      </c>
      <c r="S370" s="24">
        <f>2629479.45</f>
        <v>2629479.45</v>
      </c>
      <c r="T370" s="15"/>
      <c r="U370" s="7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</row>
    <row r="371" spans="1:148" ht="89.25">
      <c r="A371" s="11" t="s">
        <v>31</v>
      </c>
      <c r="B371" s="12" t="s">
        <v>194</v>
      </c>
      <c r="C371" s="13" t="s">
        <v>33</v>
      </c>
      <c r="D371" s="23">
        <f>360000000</f>
        <v>360000000</v>
      </c>
      <c r="E371" s="13" t="s">
        <v>155</v>
      </c>
      <c r="F371" s="13" t="s">
        <v>195</v>
      </c>
      <c r="G371" s="13" t="s">
        <v>36</v>
      </c>
      <c r="H371" s="13"/>
      <c r="I371" s="13" t="s">
        <v>196</v>
      </c>
      <c r="J371" s="13" t="s">
        <v>197</v>
      </c>
      <c r="K371" s="12" t="s">
        <v>193</v>
      </c>
      <c r="L371" s="13"/>
      <c r="M371" s="13"/>
      <c r="N371" s="13"/>
      <c r="O371" s="23">
        <f>0</f>
        <v>0</v>
      </c>
      <c r="P371" s="23">
        <f>360000000</f>
        <v>360000000</v>
      </c>
      <c r="Q371" s="13" t="s">
        <v>40</v>
      </c>
      <c r="R371" s="13" t="s">
        <v>84</v>
      </c>
      <c r="S371" s="23">
        <f>2205369.86</f>
        <v>2205369.86</v>
      </c>
      <c r="T371" s="13"/>
      <c r="U371" s="7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</row>
    <row r="372" spans="1:148" ht="15">
      <c r="A372" s="14" t="s">
        <v>32</v>
      </c>
      <c r="B372" s="15"/>
      <c r="C372" s="15"/>
      <c r="D372" s="24">
        <f>0</f>
        <v>0</v>
      </c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24">
        <f>0</f>
        <v>0</v>
      </c>
      <c r="P372" s="24">
        <f>0</f>
        <v>0</v>
      </c>
      <c r="Q372" s="15" t="s">
        <v>40</v>
      </c>
      <c r="R372" s="15" t="s">
        <v>85</v>
      </c>
      <c r="S372" s="24">
        <f>2629479.45</f>
        <v>2629479.45</v>
      </c>
      <c r="T372" s="15"/>
      <c r="U372" s="7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</row>
    <row r="373" spans="1:148" ht="15">
      <c r="A373" s="14" t="s">
        <v>32</v>
      </c>
      <c r="B373" s="15"/>
      <c r="C373" s="15"/>
      <c r="D373" s="24">
        <f>0</f>
        <v>0</v>
      </c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24">
        <f>0</f>
        <v>0</v>
      </c>
      <c r="P373" s="24">
        <f>0</f>
        <v>0</v>
      </c>
      <c r="Q373" s="15" t="s">
        <v>40</v>
      </c>
      <c r="R373" s="15" t="s">
        <v>86</v>
      </c>
      <c r="S373" s="24">
        <f>2629479.45</f>
        <v>2629479.45</v>
      </c>
      <c r="T373" s="15"/>
      <c r="U373" s="7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</row>
    <row r="374" spans="1:148" ht="89.25">
      <c r="A374" s="11" t="s">
        <v>31</v>
      </c>
      <c r="B374" s="12" t="s">
        <v>198</v>
      </c>
      <c r="C374" s="13" t="s">
        <v>33</v>
      </c>
      <c r="D374" s="23">
        <f>360000000</f>
        <v>360000000</v>
      </c>
      <c r="E374" s="13" t="s">
        <v>155</v>
      </c>
      <c r="F374" s="13" t="s">
        <v>199</v>
      </c>
      <c r="G374" s="13" t="s">
        <v>36</v>
      </c>
      <c r="H374" s="13"/>
      <c r="I374" s="13" t="s">
        <v>196</v>
      </c>
      <c r="J374" s="13" t="s">
        <v>197</v>
      </c>
      <c r="K374" s="12" t="s">
        <v>193</v>
      </c>
      <c r="L374" s="13"/>
      <c r="M374" s="13"/>
      <c r="N374" s="13"/>
      <c r="O374" s="23">
        <f>0</f>
        <v>0</v>
      </c>
      <c r="P374" s="23">
        <f>360000000</f>
        <v>360000000</v>
      </c>
      <c r="Q374" s="13" t="s">
        <v>40</v>
      </c>
      <c r="R374" s="13" t="s">
        <v>84</v>
      </c>
      <c r="S374" s="23">
        <f>2205369.86</f>
        <v>2205369.86</v>
      </c>
      <c r="T374" s="13"/>
      <c r="U374" s="7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</row>
    <row r="375" spans="1:148" ht="15">
      <c r="A375" s="14" t="s">
        <v>32</v>
      </c>
      <c r="B375" s="15"/>
      <c r="C375" s="15"/>
      <c r="D375" s="24">
        <f>0</f>
        <v>0</v>
      </c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24">
        <f>0</f>
        <v>0</v>
      </c>
      <c r="P375" s="24">
        <f>0</f>
        <v>0</v>
      </c>
      <c r="Q375" s="15" t="s">
        <v>40</v>
      </c>
      <c r="R375" s="15" t="s">
        <v>85</v>
      </c>
      <c r="S375" s="24">
        <f>2629479.45</f>
        <v>2629479.45</v>
      </c>
      <c r="T375" s="15"/>
      <c r="U375" s="7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</row>
    <row r="376" spans="1:148" ht="15">
      <c r="A376" s="14" t="s">
        <v>32</v>
      </c>
      <c r="B376" s="15"/>
      <c r="C376" s="15"/>
      <c r="D376" s="24">
        <f>0</f>
        <v>0</v>
      </c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24">
        <f>0</f>
        <v>0</v>
      </c>
      <c r="P376" s="24">
        <f>0</f>
        <v>0</v>
      </c>
      <c r="Q376" s="15" t="s">
        <v>40</v>
      </c>
      <c r="R376" s="15" t="s">
        <v>86</v>
      </c>
      <c r="S376" s="24">
        <f>2629479.45</f>
        <v>2629479.45</v>
      </c>
      <c r="T376" s="15"/>
      <c r="U376" s="7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</row>
    <row r="377" spans="1:148" ht="89.25">
      <c r="A377" s="11" t="s">
        <v>31</v>
      </c>
      <c r="B377" s="12" t="s">
        <v>200</v>
      </c>
      <c r="C377" s="13" t="s">
        <v>33</v>
      </c>
      <c r="D377" s="23">
        <f>300000000</f>
        <v>300000000</v>
      </c>
      <c r="E377" s="13" t="s">
        <v>155</v>
      </c>
      <c r="F377" s="13" t="s">
        <v>201</v>
      </c>
      <c r="G377" s="13" t="s">
        <v>36</v>
      </c>
      <c r="H377" s="13"/>
      <c r="I377" s="13" t="s">
        <v>196</v>
      </c>
      <c r="J377" s="13" t="s">
        <v>197</v>
      </c>
      <c r="K377" s="12" t="s">
        <v>193</v>
      </c>
      <c r="L377" s="13"/>
      <c r="M377" s="13"/>
      <c r="N377" s="13"/>
      <c r="O377" s="23">
        <f>0</f>
        <v>0</v>
      </c>
      <c r="P377" s="23">
        <f>300000000</f>
        <v>300000000</v>
      </c>
      <c r="Q377" s="13" t="s">
        <v>40</v>
      </c>
      <c r="R377" s="13" t="s">
        <v>84</v>
      </c>
      <c r="S377" s="23">
        <f>1837808.22</f>
        <v>1837808.22</v>
      </c>
      <c r="T377" s="13"/>
      <c r="U377" s="7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</row>
    <row r="378" spans="1:148" ht="15">
      <c r="A378" s="14" t="s">
        <v>32</v>
      </c>
      <c r="B378" s="15"/>
      <c r="C378" s="15"/>
      <c r="D378" s="24">
        <f>0</f>
        <v>0</v>
      </c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24">
        <f>0</f>
        <v>0</v>
      </c>
      <c r="P378" s="24">
        <f>0</f>
        <v>0</v>
      </c>
      <c r="Q378" s="15" t="s">
        <v>40</v>
      </c>
      <c r="R378" s="15" t="s">
        <v>85</v>
      </c>
      <c r="S378" s="24">
        <f>2191232.88</f>
        <v>2191232.88</v>
      </c>
      <c r="T378" s="15"/>
      <c r="U378" s="7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</row>
    <row r="379" spans="1:148" ht="15">
      <c r="A379" s="14" t="s">
        <v>32</v>
      </c>
      <c r="B379" s="15"/>
      <c r="C379" s="15"/>
      <c r="D379" s="24">
        <f>0</f>
        <v>0</v>
      </c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24">
        <f>0</f>
        <v>0</v>
      </c>
      <c r="P379" s="24">
        <f>0</f>
        <v>0</v>
      </c>
      <c r="Q379" s="15" t="s">
        <v>40</v>
      </c>
      <c r="R379" s="15" t="s">
        <v>86</v>
      </c>
      <c r="S379" s="24">
        <f>2191232.88</f>
        <v>2191232.88</v>
      </c>
      <c r="T379" s="15"/>
      <c r="U379" s="7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</row>
    <row r="380" spans="1:148" ht="89.25">
      <c r="A380" s="11" t="s">
        <v>31</v>
      </c>
      <c r="B380" s="12" t="s">
        <v>202</v>
      </c>
      <c r="C380" s="13" t="s">
        <v>33</v>
      </c>
      <c r="D380" s="23">
        <f>360000000</f>
        <v>360000000</v>
      </c>
      <c r="E380" s="13" t="s">
        <v>155</v>
      </c>
      <c r="F380" s="13" t="s">
        <v>203</v>
      </c>
      <c r="G380" s="13" t="s">
        <v>36</v>
      </c>
      <c r="H380" s="13"/>
      <c r="I380" s="13" t="s">
        <v>204</v>
      </c>
      <c r="J380" s="13" t="s">
        <v>205</v>
      </c>
      <c r="K380" s="12" t="s">
        <v>193</v>
      </c>
      <c r="L380" s="13"/>
      <c r="M380" s="13"/>
      <c r="N380" s="13"/>
      <c r="O380" s="23">
        <f>0</f>
        <v>0</v>
      </c>
      <c r="P380" s="23">
        <f>360000000</f>
        <v>360000000</v>
      </c>
      <c r="Q380" s="13" t="s">
        <v>40</v>
      </c>
      <c r="R380" s="13" t="s">
        <v>85</v>
      </c>
      <c r="S380" s="23">
        <f>1866082.19</f>
        <v>1866082.19</v>
      </c>
      <c r="T380" s="13"/>
      <c r="U380" s="7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</row>
    <row r="381" spans="1:148" ht="15">
      <c r="A381" s="14" t="s">
        <v>32</v>
      </c>
      <c r="B381" s="15"/>
      <c r="C381" s="15"/>
      <c r="D381" s="24">
        <f>0</f>
        <v>0</v>
      </c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24">
        <f>0</f>
        <v>0</v>
      </c>
      <c r="P381" s="24">
        <f>0</f>
        <v>0</v>
      </c>
      <c r="Q381" s="15" t="s">
        <v>40</v>
      </c>
      <c r="R381" s="15" t="s">
        <v>86</v>
      </c>
      <c r="S381" s="24">
        <f>2629479.45</f>
        <v>2629479.45</v>
      </c>
      <c r="T381" s="15"/>
      <c r="U381" s="7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</row>
    <row r="382" spans="1:148" ht="89.25">
      <c r="A382" s="11" t="s">
        <v>31</v>
      </c>
      <c r="B382" s="12" t="s">
        <v>206</v>
      </c>
      <c r="C382" s="13" t="s">
        <v>33</v>
      </c>
      <c r="D382" s="23">
        <f>360000000</f>
        <v>360000000</v>
      </c>
      <c r="E382" s="13" t="s">
        <v>155</v>
      </c>
      <c r="F382" s="13" t="s">
        <v>207</v>
      </c>
      <c r="G382" s="13" t="s">
        <v>36</v>
      </c>
      <c r="H382" s="13"/>
      <c r="I382" s="13" t="s">
        <v>119</v>
      </c>
      <c r="J382" s="13" t="s">
        <v>208</v>
      </c>
      <c r="K382" s="12" t="s">
        <v>193</v>
      </c>
      <c r="L382" s="13"/>
      <c r="M382" s="13"/>
      <c r="N382" s="13"/>
      <c r="O382" s="23">
        <f>0</f>
        <v>0</v>
      </c>
      <c r="P382" s="23">
        <f>360000000</f>
        <v>360000000</v>
      </c>
      <c r="Q382" s="13" t="s">
        <v>40</v>
      </c>
      <c r="R382" s="13" t="s">
        <v>86</v>
      </c>
      <c r="S382" s="23">
        <f>339287.67</f>
        <v>339287.67</v>
      </c>
      <c r="T382" s="13"/>
      <c r="U382" s="7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</row>
    <row r="383" spans="1:148" ht="89.25">
      <c r="A383" s="11" t="s">
        <v>31</v>
      </c>
      <c r="B383" s="12" t="s">
        <v>209</v>
      </c>
      <c r="C383" s="13" t="s">
        <v>104</v>
      </c>
      <c r="D383" s="23">
        <f>100000000</f>
        <v>100000000</v>
      </c>
      <c r="E383" s="13" t="s">
        <v>155</v>
      </c>
      <c r="F383" s="13" t="s">
        <v>210</v>
      </c>
      <c r="G383" s="13" t="s">
        <v>36</v>
      </c>
      <c r="H383" s="13"/>
      <c r="I383" s="13" t="s">
        <v>211</v>
      </c>
      <c r="J383" s="13" t="s">
        <v>212</v>
      </c>
      <c r="K383" s="12" t="s">
        <v>177</v>
      </c>
      <c r="L383" s="13"/>
      <c r="M383" s="13"/>
      <c r="N383" s="13"/>
      <c r="O383" s="23">
        <f>0</f>
        <v>0</v>
      </c>
      <c r="P383" s="23">
        <f>100000000</f>
        <v>100000000</v>
      </c>
      <c r="Q383" s="13" t="s">
        <v>40</v>
      </c>
      <c r="R383" s="13" t="s">
        <v>167</v>
      </c>
      <c r="S383" s="23">
        <f>126712.33</f>
        <v>126712.33</v>
      </c>
      <c r="T383" s="13"/>
      <c r="U383" s="7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</row>
    <row r="384" spans="1:148" ht="89.25">
      <c r="A384" s="11" t="s">
        <v>31</v>
      </c>
      <c r="B384" s="12" t="s">
        <v>213</v>
      </c>
      <c r="C384" s="13" t="s">
        <v>104</v>
      </c>
      <c r="D384" s="23">
        <f>74943300</f>
        <v>74943300</v>
      </c>
      <c r="E384" s="13" t="s">
        <v>155</v>
      </c>
      <c r="F384" s="13" t="s">
        <v>214</v>
      </c>
      <c r="G384" s="13" t="s">
        <v>36</v>
      </c>
      <c r="H384" s="13"/>
      <c r="I384" s="13" t="s">
        <v>211</v>
      </c>
      <c r="J384" s="13" t="s">
        <v>212</v>
      </c>
      <c r="K384" s="12" t="s">
        <v>215</v>
      </c>
      <c r="L384" s="13"/>
      <c r="M384" s="13"/>
      <c r="N384" s="13"/>
      <c r="O384" s="23">
        <f>0</f>
        <v>0</v>
      </c>
      <c r="P384" s="23">
        <f>74943300</f>
        <v>74943300</v>
      </c>
      <c r="Q384" s="13" t="s">
        <v>40</v>
      </c>
      <c r="R384" s="13" t="s">
        <v>167</v>
      </c>
      <c r="S384" s="23">
        <f>94859.74</f>
        <v>94859.74</v>
      </c>
      <c r="T384" s="13"/>
      <c r="U384" s="7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</row>
    <row r="385" spans="1:148" s="22" customFormat="1" ht="15">
      <c r="A385" s="18" t="s">
        <v>217</v>
      </c>
      <c r="B385" s="19"/>
      <c r="C385" s="19"/>
      <c r="D385" s="25">
        <v>9699733800</v>
      </c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5">
        <v>1944943300</v>
      </c>
      <c r="P385" s="25">
        <v>7679733800</v>
      </c>
      <c r="Q385" s="19"/>
      <c r="R385" s="19"/>
      <c r="S385" s="25">
        <v>584660441.09</v>
      </c>
      <c r="T385" s="19"/>
      <c r="U385" s="20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</row>
    <row r="386" spans="1:148" ht="15">
      <c r="A386" s="16" t="s">
        <v>216</v>
      </c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</row>
    <row r="387" spans="1:148" ht="1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1"/>
      <c r="AR387" s="51"/>
      <c r="AS387" s="51"/>
      <c r="AT387" s="51"/>
      <c r="AU387" s="51"/>
      <c r="AV387" s="51"/>
      <c r="AW387" s="51"/>
      <c r="AX387" s="51"/>
      <c r="AY387" s="51"/>
      <c r="AZ387" s="51"/>
      <c r="BA387" s="51"/>
      <c r="BB387" s="51"/>
      <c r="BC387" s="51"/>
      <c r="BD387" s="51"/>
      <c r="BE387" s="51"/>
      <c r="BF387" s="51"/>
      <c r="BG387" s="51"/>
      <c r="BH387" s="51"/>
      <c r="BI387" s="51"/>
      <c r="BJ387" s="51"/>
      <c r="BK387" s="51"/>
      <c r="BL387" s="51"/>
      <c r="BM387" s="51"/>
      <c r="BN387" s="51"/>
      <c r="BO387" s="51"/>
      <c r="BP387" s="51"/>
      <c r="BQ387" s="51"/>
      <c r="BR387" s="51"/>
      <c r="BS387" s="51"/>
      <c r="BT387" s="51"/>
      <c r="BU387" s="51"/>
      <c r="BV387" s="51"/>
      <c r="BW387" s="51"/>
      <c r="BX387" s="51"/>
      <c r="BY387" s="51"/>
      <c r="BZ387" s="51"/>
      <c r="CA387" s="51"/>
      <c r="CB387" s="51"/>
      <c r="CC387" s="51"/>
      <c r="CD387" s="51"/>
      <c r="CE387" s="51"/>
      <c r="CF387" s="51"/>
      <c r="CG387" s="51"/>
      <c r="CH387" s="51"/>
      <c r="CI387" s="51"/>
      <c r="CJ387" s="51"/>
      <c r="CK387" s="51"/>
      <c r="CL387" s="51"/>
      <c r="CM387" s="51"/>
      <c r="CN387" s="51"/>
      <c r="CO387" s="51"/>
      <c r="CP387" s="51"/>
      <c r="CQ387" s="51"/>
      <c r="CR387" s="51"/>
      <c r="CS387" s="51"/>
      <c r="CT387" s="51"/>
      <c r="CU387" s="51"/>
      <c r="CV387" s="51"/>
      <c r="CW387" s="51"/>
      <c r="CX387" s="51"/>
      <c r="CY387" s="51"/>
      <c r="CZ387" s="51"/>
      <c r="DA387" s="51"/>
      <c r="DB387" s="51"/>
      <c r="DC387" s="51"/>
      <c r="DD387" s="51"/>
      <c r="DE387" s="51"/>
      <c r="DF387" s="51"/>
      <c r="DG387" s="51"/>
      <c r="DH387" s="51"/>
      <c r="DI387" s="51"/>
      <c r="DJ387" s="51"/>
      <c r="DK387" s="51"/>
      <c r="DL387" s="51"/>
      <c r="DM387" s="51"/>
      <c r="DN387" s="51"/>
      <c r="DO387" s="51"/>
      <c r="DP387" s="51"/>
      <c r="DQ387" s="51"/>
      <c r="DR387" s="51"/>
      <c r="DS387" s="51"/>
      <c r="DT387" s="51"/>
      <c r="DU387" s="51"/>
      <c r="DV387" s="51"/>
      <c r="DW387" s="51"/>
      <c r="DX387" s="51"/>
      <c r="DY387" s="51"/>
      <c r="DZ387" s="51"/>
      <c r="EA387" s="51"/>
      <c r="EB387" s="51"/>
      <c r="EC387" s="51"/>
      <c r="ED387" s="51"/>
      <c r="EE387" s="51"/>
      <c r="EF387" s="51"/>
      <c r="EG387" s="51"/>
      <c r="EH387" s="51"/>
      <c r="EI387" s="51"/>
      <c r="EJ387" s="51"/>
      <c r="EK387" s="51"/>
      <c r="EL387" s="51"/>
      <c r="EM387" s="51"/>
      <c r="EN387" s="51"/>
      <c r="EO387" s="51"/>
      <c r="EP387" s="51"/>
      <c r="EQ387" s="51"/>
      <c r="ER387" s="51"/>
    </row>
    <row r="388" spans="1:148" ht="1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1"/>
      <c r="AR388" s="51"/>
      <c r="AS388" s="51"/>
      <c r="AT388" s="51"/>
      <c r="AU388" s="51"/>
      <c r="AV388" s="51"/>
      <c r="AW388" s="51"/>
      <c r="AX388" s="51"/>
      <c r="AY388" s="51"/>
      <c r="AZ388" s="51"/>
      <c r="BA388" s="51"/>
      <c r="BB388" s="51"/>
      <c r="BC388" s="51"/>
      <c r="BD388" s="51"/>
      <c r="BE388" s="51"/>
      <c r="BF388" s="51"/>
      <c r="BG388" s="51"/>
      <c r="BH388" s="51"/>
      <c r="BI388" s="51"/>
      <c r="BJ388" s="51"/>
      <c r="BK388" s="51"/>
      <c r="BL388" s="51"/>
      <c r="BM388" s="51"/>
      <c r="BN388" s="51"/>
      <c r="BO388" s="51"/>
      <c r="BP388" s="51"/>
      <c r="BQ388" s="51"/>
      <c r="BR388" s="51"/>
      <c r="BS388" s="51"/>
      <c r="BT388" s="51"/>
      <c r="BU388" s="51"/>
      <c r="BV388" s="51"/>
      <c r="BW388" s="51"/>
      <c r="BX388" s="51"/>
      <c r="BY388" s="51"/>
      <c r="BZ388" s="51"/>
      <c r="CA388" s="51"/>
      <c r="CB388" s="51"/>
      <c r="CC388" s="51"/>
      <c r="CD388" s="51"/>
      <c r="CE388" s="51"/>
      <c r="CF388" s="51"/>
      <c r="CG388" s="51"/>
      <c r="CH388" s="51"/>
      <c r="CI388" s="51"/>
      <c r="CJ388" s="51"/>
      <c r="CK388" s="51"/>
      <c r="CL388" s="51"/>
      <c r="CM388" s="51"/>
      <c r="CN388" s="51"/>
      <c r="CO388" s="51"/>
      <c r="CP388" s="51"/>
      <c r="CQ388" s="51"/>
      <c r="CR388" s="51"/>
      <c r="CS388" s="51"/>
      <c r="CT388" s="51"/>
      <c r="CU388" s="51"/>
      <c r="CV388" s="51"/>
      <c r="CW388" s="51"/>
      <c r="CX388" s="51"/>
      <c r="CY388" s="51"/>
      <c r="CZ388" s="51"/>
      <c r="DA388" s="51"/>
      <c r="DB388" s="51"/>
      <c r="DC388" s="51"/>
      <c r="DD388" s="51"/>
      <c r="DE388" s="51"/>
      <c r="DF388" s="51"/>
      <c r="DG388" s="51"/>
      <c r="DH388" s="51"/>
      <c r="DI388" s="51"/>
      <c r="DJ388" s="51"/>
      <c r="DK388" s="51"/>
      <c r="DL388" s="51"/>
      <c r="DM388" s="51"/>
      <c r="DN388" s="51"/>
      <c r="DO388" s="51"/>
      <c r="DP388" s="51"/>
      <c r="DQ388" s="51"/>
      <c r="DR388" s="51"/>
      <c r="DS388" s="51"/>
      <c r="DT388" s="51"/>
      <c r="DU388" s="51"/>
      <c r="DV388" s="51"/>
      <c r="DW388" s="51"/>
      <c r="DX388" s="51"/>
      <c r="DY388" s="51"/>
      <c r="DZ388" s="51"/>
      <c r="EA388" s="51"/>
      <c r="EB388" s="51"/>
      <c r="EC388" s="51"/>
      <c r="ED388" s="51"/>
      <c r="EE388" s="51"/>
      <c r="EF388" s="51"/>
      <c r="EG388" s="51"/>
      <c r="EH388" s="51"/>
      <c r="EI388" s="51"/>
      <c r="EJ388" s="51"/>
      <c r="EK388" s="51"/>
      <c r="EL388" s="51"/>
      <c r="EM388" s="51"/>
      <c r="EN388" s="51"/>
      <c r="EO388" s="51"/>
      <c r="EP388" s="51"/>
      <c r="EQ388" s="51"/>
      <c r="ER388" s="51"/>
    </row>
  </sheetData>
  <sheetProtection/>
  <mergeCells count="33">
    <mergeCell ref="A387:ER387"/>
    <mergeCell ref="B4:T4"/>
    <mergeCell ref="B5:T5"/>
    <mergeCell ref="B6:T6"/>
    <mergeCell ref="H7:H11"/>
    <mergeCell ref="M9:M11"/>
    <mergeCell ref="B7:B11"/>
    <mergeCell ref="O9:O11"/>
    <mergeCell ref="N9:N11"/>
    <mergeCell ref="B1:T1"/>
    <mergeCell ref="B2:T2"/>
    <mergeCell ref="B3:T3"/>
    <mergeCell ref="Q7:S7"/>
    <mergeCell ref="C7:C11"/>
    <mergeCell ref="D7:D11"/>
    <mergeCell ref="E7:E11"/>
    <mergeCell ref="F7:F11"/>
    <mergeCell ref="G7:G11"/>
    <mergeCell ref="A388:ER388"/>
    <mergeCell ref="R8:R11"/>
    <mergeCell ref="S8:S11"/>
    <mergeCell ref="I9:I11"/>
    <mergeCell ref="J9:J11"/>
    <mergeCell ref="T7:T11"/>
    <mergeCell ref="I8:J8"/>
    <mergeCell ref="L8:M8"/>
    <mergeCell ref="N8:O8"/>
    <mergeCell ref="Q8:Q11"/>
    <mergeCell ref="I7:K7"/>
    <mergeCell ref="L7:O7"/>
    <mergeCell ref="P7:P11"/>
    <mergeCell ref="K9:K11"/>
    <mergeCell ref="L9:L11"/>
  </mergeCells>
  <printOptions/>
  <pageMargins left="0" right="0" top="0.3937007874015748" bottom="0.3937007874015748" header="0.5118110236220472" footer="0.5118110236220472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6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18">
      <c r="A1" s="1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15">
      <c r="A2" s="1" t="s">
        <v>221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3"/>
      <c r="V2" s="3"/>
      <c r="W2" s="3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20.25">
      <c r="A3" s="1" t="s">
        <v>1</v>
      </c>
      <c r="B3" s="57" t="s">
        <v>222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"/>
      <c r="V3" s="2"/>
      <c r="W3" s="2"/>
      <c r="X3" s="2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15">
      <c r="A4" s="5" t="s">
        <v>3</v>
      </c>
      <c r="B4" s="58" t="s">
        <v>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3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95.25" customHeight="1">
      <c r="A5" s="6" t="s">
        <v>5</v>
      </c>
      <c r="B5" s="52" t="s">
        <v>6</v>
      </c>
      <c r="C5" s="45" t="s">
        <v>7</v>
      </c>
      <c r="D5" s="45" t="s">
        <v>8</v>
      </c>
      <c r="E5" s="45" t="s">
        <v>9</v>
      </c>
      <c r="F5" s="45" t="s">
        <v>10</v>
      </c>
      <c r="G5" s="45" t="s">
        <v>11</v>
      </c>
      <c r="H5" s="45" t="s">
        <v>12</v>
      </c>
      <c r="I5" s="48" t="s">
        <v>13</v>
      </c>
      <c r="J5" s="50"/>
      <c r="K5" s="49"/>
      <c r="L5" s="48" t="s">
        <v>14</v>
      </c>
      <c r="M5" s="50"/>
      <c r="N5" s="50"/>
      <c r="O5" s="49"/>
      <c r="P5" s="45" t="s">
        <v>15</v>
      </c>
      <c r="Q5" s="48" t="s">
        <v>16</v>
      </c>
      <c r="R5" s="50"/>
      <c r="S5" s="49"/>
      <c r="T5" s="45" t="s">
        <v>17</v>
      </c>
      <c r="U5" s="7"/>
      <c r="V5" s="3"/>
      <c r="W5" s="3"/>
      <c r="X5" s="3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25.5" customHeight="1">
      <c r="A6" s="1" t="s">
        <v>223</v>
      </c>
      <c r="B6" s="53"/>
      <c r="C6" s="46"/>
      <c r="D6" s="46"/>
      <c r="E6" s="46"/>
      <c r="F6" s="46"/>
      <c r="G6" s="46"/>
      <c r="H6" s="46"/>
      <c r="I6" s="48" t="s">
        <v>19</v>
      </c>
      <c r="J6" s="49"/>
      <c r="K6" s="26" t="s">
        <v>20</v>
      </c>
      <c r="L6" s="48" t="s">
        <v>21</v>
      </c>
      <c r="M6" s="49"/>
      <c r="N6" s="48" t="s">
        <v>22</v>
      </c>
      <c r="O6" s="49"/>
      <c r="P6" s="46"/>
      <c r="Q6" s="45" t="s">
        <v>23</v>
      </c>
      <c r="R6" s="45" t="s">
        <v>24</v>
      </c>
      <c r="S6" s="45" t="s">
        <v>25</v>
      </c>
      <c r="T6" s="46"/>
      <c r="U6" s="7"/>
      <c r="V6" s="3"/>
      <c r="W6" s="3"/>
      <c r="X6" s="3"/>
      <c r="Y6" s="4"/>
      <c r="Z6" s="4"/>
      <c r="AA6" s="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7"/>
      <c r="B7" s="53"/>
      <c r="C7" s="46"/>
      <c r="D7" s="46"/>
      <c r="E7" s="46"/>
      <c r="F7" s="46"/>
      <c r="G7" s="46"/>
      <c r="H7" s="46"/>
      <c r="I7" s="45" t="s">
        <v>26</v>
      </c>
      <c r="J7" s="45" t="s">
        <v>27</v>
      </c>
      <c r="K7" s="45" t="s">
        <v>28</v>
      </c>
      <c r="L7" s="45" t="s">
        <v>24</v>
      </c>
      <c r="M7" s="45" t="s">
        <v>25</v>
      </c>
      <c r="N7" s="45" t="s">
        <v>24</v>
      </c>
      <c r="O7" s="45" t="s">
        <v>25</v>
      </c>
      <c r="P7" s="46"/>
      <c r="Q7" s="46"/>
      <c r="R7" s="46"/>
      <c r="S7" s="46"/>
      <c r="T7" s="46"/>
      <c r="U7" s="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15">
      <c r="A8" s="7"/>
      <c r="B8" s="53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7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15">
      <c r="A9" s="9"/>
      <c r="B9" s="54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7"/>
      <c r="V9" s="3" t="s">
        <v>29</v>
      </c>
      <c r="W9" s="3" t="s">
        <v>29</v>
      </c>
      <c r="X9" s="3" t="s">
        <v>29</v>
      </c>
      <c r="Y9" s="3" t="s">
        <v>29</v>
      </c>
      <c r="Z9" s="3" t="s">
        <v>29</v>
      </c>
      <c r="AA9" s="3" t="s">
        <v>29</v>
      </c>
      <c r="AB9" s="3" t="s">
        <v>29</v>
      </c>
      <c r="AC9" s="3" t="s">
        <v>29</v>
      </c>
      <c r="AD9" s="3" t="s">
        <v>29</v>
      </c>
      <c r="AE9" s="3" t="s">
        <v>29</v>
      </c>
      <c r="AF9" s="3" t="s">
        <v>29</v>
      </c>
      <c r="AG9" s="3" t="s">
        <v>29</v>
      </c>
      <c r="AH9" s="3" t="s">
        <v>29</v>
      </c>
      <c r="AI9" s="3" t="s">
        <v>29</v>
      </c>
      <c r="AJ9" s="3" t="s">
        <v>29</v>
      </c>
      <c r="AK9" s="3" t="s">
        <v>29</v>
      </c>
      <c r="AL9" s="3" t="s">
        <v>29</v>
      </c>
      <c r="AM9" s="3" t="s">
        <v>29</v>
      </c>
      <c r="AN9" s="3" t="s">
        <v>29</v>
      </c>
      <c r="AO9" s="3" t="s">
        <v>29</v>
      </c>
      <c r="AP9" s="3" t="s">
        <v>29</v>
      </c>
      <c r="AQ9" s="3" t="s">
        <v>29</v>
      </c>
      <c r="AR9" s="3" t="s">
        <v>29</v>
      </c>
      <c r="AS9" s="3" t="s">
        <v>29</v>
      </c>
      <c r="AT9" s="3" t="s">
        <v>29</v>
      </c>
      <c r="AU9" s="3" t="s">
        <v>29</v>
      </c>
      <c r="AV9" s="3" t="s">
        <v>29</v>
      </c>
      <c r="AW9" s="3" t="s">
        <v>29</v>
      </c>
      <c r="AX9" s="3" t="s">
        <v>29</v>
      </c>
      <c r="AY9" s="3" t="s">
        <v>29</v>
      </c>
      <c r="AZ9" s="3" t="s">
        <v>29</v>
      </c>
      <c r="BA9" s="3" t="s">
        <v>29</v>
      </c>
      <c r="BB9" s="3" t="s">
        <v>29</v>
      </c>
      <c r="BC9" s="3" t="s">
        <v>29</v>
      </c>
      <c r="BD9" s="3" t="s">
        <v>29</v>
      </c>
      <c r="BE9" s="3" t="s">
        <v>29</v>
      </c>
      <c r="BF9" s="3" t="s">
        <v>29</v>
      </c>
      <c r="BG9" s="3" t="s">
        <v>29</v>
      </c>
      <c r="BH9" s="3" t="s">
        <v>29</v>
      </c>
      <c r="BI9" s="3" t="s">
        <v>29</v>
      </c>
      <c r="BJ9" s="3" t="s">
        <v>29</v>
      </c>
      <c r="BK9" s="3" t="s">
        <v>29</v>
      </c>
      <c r="BL9" s="3" t="s">
        <v>29</v>
      </c>
      <c r="BM9" s="3" t="s">
        <v>29</v>
      </c>
      <c r="BN9" s="3" t="s">
        <v>29</v>
      </c>
      <c r="BO9" s="3" t="s">
        <v>29</v>
      </c>
      <c r="BP9" s="3" t="s">
        <v>29</v>
      </c>
      <c r="BQ9" s="3" t="s">
        <v>29</v>
      </c>
      <c r="BR9" s="3" t="s">
        <v>29</v>
      </c>
      <c r="BS9" s="3" t="s">
        <v>29</v>
      </c>
      <c r="BT9" s="3" t="s">
        <v>29</v>
      </c>
      <c r="BU9" s="3" t="s">
        <v>29</v>
      </c>
      <c r="BV9" s="3" t="s">
        <v>29</v>
      </c>
      <c r="BW9" s="3" t="s">
        <v>29</v>
      </c>
      <c r="BX9" s="3" t="s">
        <v>29</v>
      </c>
      <c r="BY9" s="3" t="s">
        <v>29</v>
      </c>
      <c r="BZ9" s="3" t="s">
        <v>29</v>
      </c>
      <c r="CA9" s="3" t="s">
        <v>29</v>
      </c>
      <c r="CB9" s="3" t="s">
        <v>29</v>
      </c>
      <c r="CC9" s="3" t="s">
        <v>29</v>
      </c>
      <c r="CD9" s="3" t="s">
        <v>29</v>
      </c>
      <c r="CE9" s="3" t="s">
        <v>29</v>
      </c>
      <c r="CF9" s="3" t="s">
        <v>29</v>
      </c>
      <c r="CG9" s="3" t="s">
        <v>29</v>
      </c>
      <c r="CH9" s="3" t="s">
        <v>29</v>
      </c>
      <c r="CI9" s="3" t="s">
        <v>29</v>
      </c>
      <c r="CJ9" s="3" t="s">
        <v>29</v>
      </c>
      <c r="CK9" s="3" t="s">
        <v>29</v>
      </c>
      <c r="CL9" s="3" t="s">
        <v>29</v>
      </c>
      <c r="CM9" s="3" t="s">
        <v>29</v>
      </c>
      <c r="CN9" s="3" t="s">
        <v>29</v>
      </c>
      <c r="CO9" s="3" t="s">
        <v>29</v>
      </c>
      <c r="CP9" s="3" t="s">
        <v>29</v>
      </c>
      <c r="CQ9" s="3" t="s">
        <v>29</v>
      </c>
      <c r="CR9" s="3" t="s">
        <v>29</v>
      </c>
      <c r="CS9" s="3" t="s">
        <v>29</v>
      </c>
      <c r="CT9" s="3" t="s">
        <v>29</v>
      </c>
      <c r="CU9" s="3" t="s">
        <v>29</v>
      </c>
      <c r="CV9" s="3" t="s">
        <v>29</v>
      </c>
      <c r="CW9" s="3" t="s">
        <v>29</v>
      </c>
      <c r="CX9" s="3" t="s">
        <v>29</v>
      </c>
      <c r="CY9" s="3" t="s">
        <v>29</v>
      </c>
      <c r="CZ9" s="3" t="s">
        <v>29</v>
      </c>
      <c r="DA9" s="3" t="s">
        <v>29</v>
      </c>
      <c r="DB9" s="3" t="s">
        <v>29</v>
      </c>
      <c r="DC9" s="3" t="s">
        <v>29</v>
      </c>
      <c r="DD9" s="3" t="s">
        <v>29</v>
      </c>
      <c r="DE9" s="3" t="s">
        <v>29</v>
      </c>
      <c r="DF9" s="3" t="s">
        <v>29</v>
      </c>
      <c r="DG9" s="3" t="s">
        <v>29</v>
      </c>
      <c r="DH9" s="3" t="s">
        <v>29</v>
      </c>
      <c r="DI9" s="3" t="s">
        <v>29</v>
      </c>
      <c r="DJ9" s="3" t="s">
        <v>29</v>
      </c>
      <c r="DK9" s="3" t="s">
        <v>29</v>
      </c>
      <c r="DL9" s="3" t="s">
        <v>29</v>
      </c>
      <c r="DM9" s="3" t="s">
        <v>29</v>
      </c>
      <c r="DN9" s="3" t="s">
        <v>29</v>
      </c>
      <c r="DO9" s="3" t="s">
        <v>29</v>
      </c>
      <c r="DP9" s="3" t="s">
        <v>29</v>
      </c>
      <c r="DQ9" s="3" t="s">
        <v>29</v>
      </c>
      <c r="DR9" s="3" t="s">
        <v>29</v>
      </c>
      <c r="DS9" s="3" t="s">
        <v>29</v>
      </c>
      <c r="DT9" s="3" t="s">
        <v>29</v>
      </c>
      <c r="DU9" s="3" t="s">
        <v>29</v>
      </c>
      <c r="DV9" s="3" t="s">
        <v>29</v>
      </c>
      <c r="DW9" s="3" t="s">
        <v>29</v>
      </c>
      <c r="DX9" s="3" t="s">
        <v>29</v>
      </c>
      <c r="DY9" s="3" t="s">
        <v>29</v>
      </c>
      <c r="DZ9" s="3" t="s">
        <v>29</v>
      </c>
      <c r="EA9" s="3" t="s">
        <v>29</v>
      </c>
      <c r="EB9" s="3" t="s">
        <v>29</v>
      </c>
      <c r="EC9" s="3" t="s">
        <v>29</v>
      </c>
      <c r="ED9" s="3" t="s">
        <v>29</v>
      </c>
      <c r="EE9" s="3" t="s">
        <v>29</v>
      </c>
      <c r="EF9" s="3" t="s">
        <v>29</v>
      </c>
      <c r="EG9" s="3" t="s">
        <v>29</v>
      </c>
      <c r="EH9" s="3" t="s">
        <v>29</v>
      </c>
      <c r="EI9" s="3" t="s">
        <v>29</v>
      </c>
      <c r="EJ9" s="3" t="s">
        <v>29</v>
      </c>
      <c r="EK9" s="3" t="s">
        <v>29</v>
      </c>
      <c r="EL9" s="3" t="s">
        <v>29</v>
      </c>
      <c r="EM9" s="3" t="s">
        <v>29</v>
      </c>
      <c r="EN9" s="3" t="s">
        <v>29</v>
      </c>
      <c r="EO9" s="3" t="s">
        <v>29</v>
      </c>
      <c r="EP9" s="3" t="s">
        <v>29</v>
      </c>
      <c r="EQ9" s="3" t="s">
        <v>29</v>
      </c>
      <c r="ER9" s="3" t="s">
        <v>29</v>
      </c>
    </row>
    <row r="10" spans="1:148" ht="15">
      <c r="A10" s="27"/>
      <c r="B10" s="28" t="s">
        <v>32</v>
      </c>
      <c r="C10" s="28" t="s">
        <v>60</v>
      </c>
      <c r="D10" s="28" t="s">
        <v>64</v>
      </c>
      <c r="E10" s="28" t="s">
        <v>66</v>
      </c>
      <c r="F10" s="28" t="s">
        <v>74</v>
      </c>
      <c r="G10" s="28" t="s">
        <v>77</v>
      </c>
      <c r="H10" s="28" t="s">
        <v>81</v>
      </c>
      <c r="I10" s="28" t="s">
        <v>87</v>
      </c>
      <c r="J10" s="28" t="s">
        <v>71</v>
      </c>
      <c r="K10" s="28" t="s">
        <v>92</v>
      </c>
      <c r="L10" s="28" t="s">
        <v>95</v>
      </c>
      <c r="M10" s="28" t="s">
        <v>97</v>
      </c>
      <c r="N10" s="28" t="s">
        <v>101</v>
      </c>
      <c r="O10" s="28" t="s">
        <v>103</v>
      </c>
      <c r="P10" s="28" t="s">
        <v>120</v>
      </c>
      <c r="Q10" s="28" t="s">
        <v>122</v>
      </c>
      <c r="R10" s="28" t="s">
        <v>124</v>
      </c>
      <c r="S10" s="28" t="s">
        <v>126</v>
      </c>
      <c r="T10" s="28" t="s">
        <v>130</v>
      </c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15" hidden="1">
      <c r="A11" s="3" t="s">
        <v>30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11" t="s">
        <v>31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3">
        <f>0</f>
        <v>0</v>
      </c>
      <c r="N12" s="13"/>
      <c r="O12" s="13"/>
      <c r="P12" s="23">
        <f>0</f>
        <v>0</v>
      </c>
      <c r="Q12" s="13"/>
      <c r="R12" s="13"/>
      <c r="S12" s="23">
        <f>0</f>
        <v>0</v>
      </c>
      <c r="T12" s="13"/>
      <c r="U12" s="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s="22" customFormat="1" ht="15">
      <c r="A13" s="18" t="s">
        <v>217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5">
        <v>0</v>
      </c>
      <c r="N13" s="19"/>
      <c r="O13" s="19"/>
      <c r="P13" s="25">
        <v>0</v>
      </c>
      <c r="Q13" s="19"/>
      <c r="R13" s="19"/>
      <c r="S13" s="25">
        <v>0</v>
      </c>
      <c r="T13" s="19"/>
      <c r="U13" s="20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</row>
    <row r="14" spans="1:148" ht="15">
      <c r="A14" s="16" t="s">
        <v>216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ht="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</row>
    <row r="16" spans="1:148" ht="1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</row>
  </sheetData>
  <sheetProtection/>
  <mergeCells count="31">
    <mergeCell ref="C5:C9"/>
    <mergeCell ref="D5:D9"/>
    <mergeCell ref="E5:E9"/>
    <mergeCell ref="F5:F9"/>
    <mergeCell ref="G5:G9"/>
    <mergeCell ref="T5:T9"/>
    <mergeCell ref="I6:J6"/>
    <mergeCell ref="L6:M6"/>
    <mergeCell ref="N6:O6"/>
    <mergeCell ref="Q6:Q9"/>
    <mergeCell ref="B1:T1"/>
    <mergeCell ref="B2:T2"/>
    <mergeCell ref="B3:T3"/>
    <mergeCell ref="B4:T4"/>
    <mergeCell ref="B5:B9"/>
    <mergeCell ref="O7:O9"/>
    <mergeCell ref="H5:H9"/>
    <mergeCell ref="I5:K5"/>
    <mergeCell ref="L5:O5"/>
    <mergeCell ref="P5:P9"/>
    <mergeCell ref="Q5:S5"/>
    <mergeCell ref="A15:ER15"/>
    <mergeCell ref="A16:ER16"/>
    <mergeCell ref="R6:R9"/>
    <mergeCell ref="S6:S9"/>
    <mergeCell ref="I7:I9"/>
    <mergeCell ref="J7:J9"/>
    <mergeCell ref="K7:K9"/>
    <mergeCell ref="L7:L9"/>
    <mergeCell ref="M7:M9"/>
    <mergeCell ref="N7:N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R18"/>
  <sheetViews>
    <sheetView zoomScalePageLayoutView="0" workbookViewId="0" topLeftCell="J1">
      <selection activeCell="S10" sqref="S10:S15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15">
      <c r="A1" s="1" t="s">
        <v>221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3"/>
      <c r="V1" s="3"/>
      <c r="W1" s="3"/>
      <c r="X1" s="3"/>
      <c r="Y1" s="4"/>
      <c r="Z1" s="4"/>
      <c r="AA1" s="4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20.25">
      <c r="A2" s="1" t="s">
        <v>1</v>
      </c>
      <c r="B2" s="57" t="s">
        <v>224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2"/>
      <c r="V2" s="2"/>
      <c r="W2" s="2"/>
      <c r="X2" s="2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15">
      <c r="A3" s="5" t="s">
        <v>3</v>
      </c>
      <c r="B3" s="58" t="s">
        <v>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3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95.25" customHeight="1">
      <c r="A4" s="6" t="s">
        <v>5</v>
      </c>
      <c r="B4" s="52" t="s">
        <v>6</v>
      </c>
      <c r="C4" s="45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5" t="s">
        <v>12</v>
      </c>
      <c r="I4" s="48" t="s">
        <v>13</v>
      </c>
      <c r="J4" s="50"/>
      <c r="K4" s="49"/>
      <c r="L4" s="48" t="s">
        <v>14</v>
      </c>
      <c r="M4" s="50"/>
      <c r="N4" s="50"/>
      <c r="O4" s="49"/>
      <c r="P4" s="45" t="s">
        <v>15</v>
      </c>
      <c r="Q4" s="48" t="s">
        <v>16</v>
      </c>
      <c r="R4" s="50"/>
      <c r="S4" s="49"/>
      <c r="T4" s="45" t="s">
        <v>17</v>
      </c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25.5" customHeight="1">
      <c r="A5" s="1" t="s">
        <v>225</v>
      </c>
      <c r="B5" s="53"/>
      <c r="C5" s="46"/>
      <c r="D5" s="46"/>
      <c r="E5" s="46"/>
      <c r="F5" s="46"/>
      <c r="G5" s="46"/>
      <c r="H5" s="46"/>
      <c r="I5" s="48" t="s">
        <v>19</v>
      </c>
      <c r="J5" s="49"/>
      <c r="K5" s="26" t="s">
        <v>20</v>
      </c>
      <c r="L5" s="48" t="s">
        <v>21</v>
      </c>
      <c r="M5" s="49"/>
      <c r="N5" s="48" t="s">
        <v>22</v>
      </c>
      <c r="O5" s="49"/>
      <c r="P5" s="46"/>
      <c r="Q5" s="45" t="s">
        <v>23</v>
      </c>
      <c r="R5" s="45" t="s">
        <v>24</v>
      </c>
      <c r="S5" s="45" t="s">
        <v>25</v>
      </c>
      <c r="T5" s="46"/>
      <c r="U5" s="7"/>
      <c r="V5" s="3"/>
      <c r="W5" s="3"/>
      <c r="X5" s="3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53"/>
      <c r="C6" s="46"/>
      <c r="D6" s="46"/>
      <c r="E6" s="46"/>
      <c r="F6" s="46"/>
      <c r="G6" s="46"/>
      <c r="H6" s="46"/>
      <c r="I6" s="45" t="s">
        <v>26</v>
      </c>
      <c r="J6" s="45" t="s">
        <v>27</v>
      </c>
      <c r="K6" s="45" t="s">
        <v>28</v>
      </c>
      <c r="L6" s="45" t="s">
        <v>24</v>
      </c>
      <c r="M6" s="45" t="s">
        <v>25</v>
      </c>
      <c r="N6" s="45" t="s">
        <v>24</v>
      </c>
      <c r="O6" s="45" t="s">
        <v>25</v>
      </c>
      <c r="P6" s="46"/>
      <c r="Q6" s="46"/>
      <c r="R6" s="46"/>
      <c r="S6" s="46"/>
      <c r="T6" s="46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7"/>
      <c r="B7" s="5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15">
      <c r="A8" s="9"/>
      <c r="B8" s="54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7"/>
      <c r="V8" s="3" t="s">
        <v>29</v>
      </c>
      <c r="W8" s="3" t="s">
        <v>29</v>
      </c>
      <c r="X8" s="3" t="s">
        <v>29</v>
      </c>
      <c r="Y8" s="3" t="s">
        <v>29</v>
      </c>
      <c r="Z8" s="3" t="s">
        <v>29</v>
      </c>
      <c r="AA8" s="3" t="s">
        <v>29</v>
      </c>
      <c r="AB8" s="3" t="s">
        <v>29</v>
      </c>
      <c r="AC8" s="3" t="s">
        <v>29</v>
      </c>
      <c r="AD8" s="3" t="s">
        <v>29</v>
      </c>
      <c r="AE8" s="3" t="s">
        <v>29</v>
      </c>
      <c r="AF8" s="3" t="s">
        <v>29</v>
      </c>
      <c r="AG8" s="3" t="s">
        <v>29</v>
      </c>
      <c r="AH8" s="3" t="s">
        <v>29</v>
      </c>
      <c r="AI8" s="3" t="s">
        <v>29</v>
      </c>
      <c r="AJ8" s="3" t="s">
        <v>29</v>
      </c>
      <c r="AK8" s="3" t="s">
        <v>29</v>
      </c>
      <c r="AL8" s="3" t="s">
        <v>29</v>
      </c>
      <c r="AM8" s="3" t="s">
        <v>29</v>
      </c>
      <c r="AN8" s="3" t="s">
        <v>29</v>
      </c>
      <c r="AO8" s="3" t="s">
        <v>29</v>
      </c>
      <c r="AP8" s="3" t="s">
        <v>29</v>
      </c>
      <c r="AQ8" s="3" t="s">
        <v>29</v>
      </c>
      <c r="AR8" s="3" t="s">
        <v>29</v>
      </c>
      <c r="AS8" s="3" t="s">
        <v>29</v>
      </c>
      <c r="AT8" s="3" t="s">
        <v>29</v>
      </c>
      <c r="AU8" s="3" t="s">
        <v>29</v>
      </c>
      <c r="AV8" s="3" t="s">
        <v>29</v>
      </c>
      <c r="AW8" s="3" t="s">
        <v>29</v>
      </c>
      <c r="AX8" s="3" t="s">
        <v>29</v>
      </c>
      <c r="AY8" s="3" t="s">
        <v>29</v>
      </c>
      <c r="AZ8" s="3" t="s">
        <v>29</v>
      </c>
      <c r="BA8" s="3" t="s">
        <v>29</v>
      </c>
      <c r="BB8" s="3" t="s">
        <v>29</v>
      </c>
      <c r="BC8" s="3" t="s">
        <v>29</v>
      </c>
      <c r="BD8" s="3" t="s">
        <v>29</v>
      </c>
      <c r="BE8" s="3" t="s">
        <v>29</v>
      </c>
      <c r="BF8" s="3" t="s">
        <v>29</v>
      </c>
      <c r="BG8" s="3" t="s">
        <v>29</v>
      </c>
      <c r="BH8" s="3" t="s">
        <v>29</v>
      </c>
      <c r="BI8" s="3" t="s">
        <v>29</v>
      </c>
      <c r="BJ8" s="3" t="s">
        <v>29</v>
      </c>
      <c r="BK8" s="3" t="s">
        <v>29</v>
      </c>
      <c r="BL8" s="3" t="s">
        <v>29</v>
      </c>
      <c r="BM8" s="3" t="s">
        <v>29</v>
      </c>
      <c r="BN8" s="3" t="s">
        <v>29</v>
      </c>
      <c r="BO8" s="3" t="s">
        <v>29</v>
      </c>
      <c r="BP8" s="3" t="s">
        <v>29</v>
      </c>
      <c r="BQ8" s="3" t="s">
        <v>29</v>
      </c>
      <c r="BR8" s="3" t="s">
        <v>29</v>
      </c>
      <c r="BS8" s="3" t="s">
        <v>29</v>
      </c>
      <c r="BT8" s="3" t="s">
        <v>29</v>
      </c>
      <c r="BU8" s="3" t="s">
        <v>29</v>
      </c>
      <c r="BV8" s="3" t="s">
        <v>29</v>
      </c>
      <c r="BW8" s="3" t="s">
        <v>29</v>
      </c>
      <c r="BX8" s="3" t="s">
        <v>29</v>
      </c>
      <c r="BY8" s="3" t="s">
        <v>29</v>
      </c>
      <c r="BZ8" s="3" t="s">
        <v>29</v>
      </c>
      <c r="CA8" s="3" t="s">
        <v>29</v>
      </c>
      <c r="CB8" s="3" t="s">
        <v>29</v>
      </c>
      <c r="CC8" s="3" t="s">
        <v>29</v>
      </c>
      <c r="CD8" s="3" t="s">
        <v>29</v>
      </c>
      <c r="CE8" s="3" t="s">
        <v>29</v>
      </c>
      <c r="CF8" s="3" t="s">
        <v>29</v>
      </c>
      <c r="CG8" s="3" t="s">
        <v>29</v>
      </c>
      <c r="CH8" s="3" t="s">
        <v>29</v>
      </c>
      <c r="CI8" s="3" t="s">
        <v>29</v>
      </c>
      <c r="CJ8" s="3" t="s">
        <v>29</v>
      </c>
      <c r="CK8" s="3" t="s">
        <v>29</v>
      </c>
      <c r="CL8" s="3" t="s">
        <v>29</v>
      </c>
      <c r="CM8" s="3" t="s">
        <v>29</v>
      </c>
      <c r="CN8" s="3" t="s">
        <v>29</v>
      </c>
      <c r="CO8" s="3" t="s">
        <v>29</v>
      </c>
      <c r="CP8" s="3" t="s">
        <v>29</v>
      </c>
      <c r="CQ8" s="3" t="s">
        <v>29</v>
      </c>
      <c r="CR8" s="3" t="s">
        <v>29</v>
      </c>
      <c r="CS8" s="3" t="s">
        <v>29</v>
      </c>
      <c r="CT8" s="3" t="s">
        <v>29</v>
      </c>
      <c r="CU8" s="3" t="s">
        <v>29</v>
      </c>
      <c r="CV8" s="3" t="s">
        <v>29</v>
      </c>
      <c r="CW8" s="3" t="s">
        <v>29</v>
      </c>
      <c r="CX8" s="3" t="s">
        <v>29</v>
      </c>
      <c r="CY8" s="3" t="s">
        <v>29</v>
      </c>
      <c r="CZ8" s="3" t="s">
        <v>29</v>
      </c>
      <c r="DA8" s="3" t="s">
        <v>29</v>
      </c>
      <c r="DB8" s="3" t="s">
        <v>29</v>
      </c>
      <c r="DC8" s="3" t="s">
        <v>29</v>
      </c>
      <c r="DD8" s="3" t="s">
        <v>29</v>
      </c>
      <c r="DE8" s="3" t="s">
        <v>29</v>
      </c>
      <c r="DF8" s="3" t="s">
        <v>29</v>
      </c>
      <c r="DG8" s="3" t="s">
        <v>29</v>
      </c>
      <c r="DH8" s="3" t="s">
        <v>29</v>
      </c>
      <c r="DI8" s="3" t="s">
        <v>29</v>
      </c>
      <c r="DJ8" s="3" t="s">
        <v>29</v>
      </c>
      <c r="DK8" s="3" t="s">
        <v>29</v>
      </c>
      <c r="DL8" s="3" t="s">
        <v>29</v>
      </c>
      <c r="DM8" s="3" t="s">
        <v>29</v>
      </c>
      <c r="DN8" s="3" t="s">
        <v>29</v>
      </c>
      <c r="DO8" s="3" t="s">
        <v>29</v>
      </c>
      <c r="DP8" s="3" t="s">
        <v>29</v>
      </c>
      <c r="DQ8" s="3" t="s">
        <v>29</v>
      </c>
      <c r="DR8" s="3" t="s">
        <v>29</v>
      </c>
      <c r="DS8" s="3" t="s">
        <v>29</v>
      </c>
      <c r="DT8" s="3" t="s">
        <v>29</v>
      </c>
      <c r="DU8" s="3" t="s">
        <v>29</v>
      </c>
      <c r="DV8" s="3" t="s">
        <v>29</v>
      </c>
      <c r="DW8" s="3" t="s">
        <v>29</v>
      </c>
      <c r="DX8" s="3" t="s">
        <v>29</v>
      </c>
      <c r="DY8" s="3" t="s">
        <v>29</v>
      </c>
      <c r="DZ8" s="3" t="s">
        <v>29</v>
      </c>
      <c r="EA8" s="3" t="s">
        <v>29</v>
      </c>
      <c r="EB8" s="3" t="s">
        <v>29</v>
      </c>
      <c r="EC8" s="3" t="s">
        <v>29</v>
      </c>
      <c r="ED8" s="3" t="s">
        <v>29</v>
      </c>
      <c r="EE8" s="3" t="s">
        <v>29</v>
      </c>
      <c r="EF8" s="3" t="s">
        <v>29</v>
      </c>
      <c r="EG8" s="3" t="s">
        <v>29</v>
      </c>
      <c r="EH8" s="3" t="s">
        <v>29</v>
      </c>
      <c r="EI8" s="3" t="s">
        <v>29</v>
      </c>
      <c r="EJ8" s="3" t="s">
        <v>29</v>
      </c>
      <c r="EK8" s="3" t="s">
        <v>29</v>
      </c>
      <c r="EL8" s="3" t="s">
        <v>29</v>
      </c>
      <c r="EM8" s="3" t="s">
        <v>29</v>
      </c>
      <c r="EN8" s="3" t="s">
        <v>29</v>
      </c>
      <c r="EO8" s="3" t="s">
        <v>29</v>
      </c>
      <c r="EP8" s="3" t="s">
        <v>29</v>
      </c>
      <c r="EQ8" s="3" t="s">
        <v>29</v>
      </c>
      <c r="ER8" s="3" t="s">
        <v>29</v>
      </c>
    </row>
    <row r="9" spans="1:148" ht="15" hidden="1">
      <c r="A9" s="3" t="s">
        <v>30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293.25">
      <c r="A10" s="11" t="s">
        <v>31</v>
      </c>
      <c r="B10" s="12" t="s">
        <v>32</v>
      </c>
      <c r="C10" s="13" t="s">
        <v>226</v>
      </c>
      <c r="D10" s="23">
        <f>6000000</f>
        <v>6000000</v>
      </c>
      <c r="E10" s="13" t="s">
        <v>227</v>
      </c>
      <c r="F10" s="13" t="s">
        <v>228</v>
      </c>
      <c r="G10" s="13" t="s">
        <v>229</v>
      </c>
      <c r="H10" s="13" t="s">
        <v>230</v>
      </c>
      <c r="I10" s="13" t="s">
        <v>231</v>
      </c>
      <c r="J10" s="13" t="s">
        <v>232</v>
      </c>
      <c r="K10" s="13" t="s">
        <v>233</v>
      </c>
      <c r="L10" s="13"/>
      <c r="M10" s="13"/>
      <c r="N10" s="13"/>
      <c r="O10" s="13"/>
      <c r="P10" s="23">
        <f>106738830</f>
        <v>106738830</v>
      </c>
      <c r="Q10" s="13"/>
      <c r="R10" s="13"/>
      <c r="S10" s="23"/>
      <c r="T10" s="13" t="s">
        <v>234</v>
      </c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127.5">
      <c r="A11" s="11" t="s">
        <v>31</v>
      </c>
      <c r="B11" s="12" t="s">
        <v>60</v>
      </c>
      <c r="C11" s="13" t="s">
        <v>235</v>
      </c>
      <c r="D11" s="23">
        <f>30000000</f>
        <v>30000000</v>
      </c>
      <c r="E11" s="13" t="s">
        <v>236</v>
      </c>
      <c r="F11" s="13" t="s">
        <v>237</v>
      </c>
      <c r="G11" s="13" t="s">
        <v>229</v>
      </c>
      <c r="H11" s="13" t="s">
        <v>238</v>
      </c>
      <c r="I11" s="13" t="s">
        <v>239</v>
      </c>
      <c r="J11" s="13" t="s">
        <v>240</v>
      </c>
      <c r="K11" s="12" t="s">
        <v>241</v>
      </c>
      <c r="L11" s="13"/>
      <c r="M11" s="13"/>
      <c r="N11" s="13"/>
      <c r="O11" s="13"/>
      <c r="P11" s="23">
        <f>21750000</f>
        <v>21750000</v>
      </c>
      <c r="Q11" s="13"/>
      <c r="R11" s="13"/>
      <c r="S11" s="23"/>
      <c r="T11" s="13" t="s">
        <v>242</v>
      </c>
      <c r="U11" s="7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229.5">
      <c r="A12" s="11" t="s">
        <v>31</v>
      </c>
      <c r="B12" s="12" t="s">
        <v>64</v>
      </c>
      <c r="C12" s="13" t="s">
        <v>243</v>
      </c>
      <c r="D12" s="23">
        <f>77121258.93</f>
        <v>77121258.93</v>
      </c>
      <c r="E12" s="13" t="s">
        <v>244</v>
      </c>
      <c r="F12" s="13" t="s">
        <v>245</v>
      </c>
      <c r="G12" s="13" t="s">
        <v>229</v>
      </c>
      <c r="H12" s="13" t="s">
        <v>246</v>
      </c>
      <c r="I12" s="13" t="s">
        <v>247</v>
      </c>
      <c r="J12" s="13" t="s">
        <v>248</v>
      </c>
      <c r="K12" s="12" t="s">
        <v>103</v>
      </c>
      <c r="L12" s="13"/>
      <c r="M12" s="13"/>
      <c r="N12" s="13"/>
      <c r="O12" s="13"/>
      <c r="P12" s="23">
        <f>0</f>
        <v>0</v>
      </c>
      <c r="Q12" s="13"/>
      <c r="R12" s="13"/>
      <c r="S12" s="23"/>
      <c r="T12" s="13" t="s">
        <v>249</v>
      </c>
      <c r="U12" s="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242.25">
      <c r="A13" s="11" t="s">
        <v>31</v>
      </c>
      <c r="B13" s="12" t="s">
        <v>66</v>
      </c>
      <c r="C13" s="13" t="s">
        <v>250</v>
      </c>
      <c r="D13" s="23">
        <f>53622270.8</f>
        <v>53622270.8</v>
      </c>
      <c r="E13" s="13" t="s">
        <v>244</v>
      </c>
      <c r="F13" s="13" t="s">
        <v>251</v>
      </c>
      <c r="G13" s="13" t="s">
        <v>229</v>
      </c>
      <c r="H13" s="13" t="s">
        <v>252</v>
      </c>
      <c r="I13" s="13" t="s">
        <v>253</v>
      </c>
      <c r="J13" s="13" t="s">
        <v>254</v>
      </c>
      <c r="K13" s="12" t="s">
        <v>255</v>
      </c>
      <c r="L13" s="13"/>
      <c r="M13" s="13"/>
      <c r="N13" s="13"/>
      <c r="O13" s="13"/>
      <c r="P13" s="23">
        <f>6597861.67</f>
        <v>6597861.67</v>
      </c>
      <c r="Q13" s="13"/>
      <c r="R13" s="13"/>
      <c r="S13" s="23"/>
      <c r="T13" s="13" t="s">
        <v>256</v>
      </c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242.25">
      <c r="A14" s="11" t="s">
        <v>31</v>
      </c>
      <c r="B14" s="12" t="s">
        <v>74</v>
      </c>
      <c r="C14" s="13" t="s">
        <v>243</v>
      </c>
      <c r="D14" s="23">
        <f>143781095.89</f>
        <v>143781095.89</v>
      </c>
      <c r="E14" s="13" t="s">
        <v>257</v>
      </c>
      <c r="F14" s="13" t="s">
        <v>258</v>
      </c>
      <c r="G14" s="13" t="s">
        <v>229</v>
      </c>
      <c r="H14" s="13" t="s">
        <v>259</v>
      </c>
      <c r="I14" s="13" t="s">
        <v>260</v>
      </c>
      <c r="J14" s="13" t="s">
        <v>261</v>
      </c>
      <c r="K14" s="12" t="s">
        <v>262</v>
      </c>
      <c r="L14" s="13"/>
      <c r="M14" s="13"/>
      <c r="N14" s="13"/>
      <c r="O14" s="13"/>
      <c r="P14" s="23">
        <f>135802049.31</f>
        <v>135802049.31</v>
      </c>
      <c r="Q14" s="13"/>
      <c r="R14" s="13"/>
      <c r="S14" s="23"/>
      <c r="T14" s="13" t="s">
        <v>263</v>
      </c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s="22" customFormat="1" ht="15">
      <c r="A15" s="18" t="s">
        <v>217</v>
      </c>
      <c r="B15" s="19"/>
      <c r="C15" s="19"/>
      <c r="D15" s="25">
        <v>310524625.62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5">
        <v>270888740.98</v>
      </c>
      <c r="Q15" s="19"/>
      <c r="R15" s="19"/>
      <c r="S15" s="25"/>
      <c r="T15" s="19"/>
      <c r="U15" s="20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</row>
    <row r="16" spans="1:148" ht="15">
      <c r="A16" s="16" t="s">
        <v>216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</row>
    <row r="18" spans="1:148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</row>
  </sheetData>
  <sheetProtection/>
  <mergeCells count="30">
    <mergeCell ref="B1:T1"/>
    <mergeCell ref="B2:T2"/>
    <mergeCell ref="B3:T3"/>
    <mergeCell ref="B4:B8"/>
    <mergeCell ref="C4:C8"/>
    <mergeCell ref="D4:D8"/>
    <mergeCell ref="E4:E8"/>
    <mergeCell ref="F4:F8"/>
    <mergeCell ref="G4:G8"/>
    <mergeCell ref="H4:H8"/>
    <mergeCell ref="I4:K4"/>
    <mergeCell ref="L4:O4"/>
    <mergeCell ref="P4:P8"/>
    <mergeCell ref="Q4:S4"/>
    <mergeCell ref="T4:T8"/>
    <mergeCell ref="I5:J5"/>
    <mergeCell ref="L5:M5"/>
    <mergeCell ref="N5:O5"/>
    <mergeCell ref="Q5:Q8"/>
    <mergeCell ref="R5:R8"/>
    <mergeCell ref="A17:ER17"/>
    <mergeCell ref="A18:ER18"/>
    <mergeCell ref="S5:S8"/>
    <mergeCell ref="I6:I8"/>
    <mergeCell ref="J6:J8"/>
    <mergeCell ref="K6:K8"/>
    <mergeCell ref="L6:L8"/>
    <mergeCell ref="M6:M8"/>
    <mergeCell ref="N6:N8"/>
    <mergeCell ref="O6:O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R23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1" max="1" width="0.13671875" style="0" customWidth="1"/>
    <col min="2" max="2" width="4.7109375" style="0" customWidth="1"/>
    <col min="3" max="8" width="20.7109375" style="0" customWidth="1"/>
    <col min="9" max="12" width="10.7109375" style="0" customWidth="1"/>
    <col min="13" max="13" width="16.7109375" style="0" customWidth="1"/>
    <col min="14" max="14" width="10.7109375" style="0" customWidth="1"/>
    <col min="15" max="16" width="16.7109375" style="0" customWidth="1"/>
    <col min="17" max="17" width="20.7109375" style="0" customWidth="1"/>
    <col min="18" max="18" width="10.7109375" style="0" customWidth="1"/>
    <col min="19" max="19" width="16.7109375" style="0" customWidth="1"/>
    <col min="20" max="20" width="20.7109375" style="0" customWidth="1"/>
    <col min="21" max="21" width="0.13671875" style="0" customWidth="1"/>
    <col min="22" max="148" width="0" style="0" hidden="1" customWidth="1"/>
  </cols>
  <sheetData>
    <row r="1" spans="1:148" ht="15">
      <c r="A1" s="1" t="s">
        <v>221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3"/>
      <c r="V1" s="3"/>
      <c r="W1" s="3"/>
      <c r="X1" s="3"/>
      <c r="Y1" s="4"/>
      <c r="Z1" s="4"/>
      <c r="AA1" s="4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</row>
    <row r="2" spans="1:148" ht="20.25">
      <c r="A2" s="1" t="s">
        <v>1</v>
      </c>
      <c r="B2" s="57" t="s">
        <v>264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2"/>
      <c r="V2" s="2"/>
      <c r="W2" s="2"/>
      <c r="X2" s="2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</row>
    <row r="3" spans="1:148" ht="15">
      <c r="A3" s="5" t="s">
        <v>3</v>
      </c>
      <c r="B3" s="58" t="s">
        <v>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3"/>
      <c r="V3" s="3"/>
      <c r="W3" s="3"/>
      <c r="X3" s="3"/>
      <c r="Y3" s="4"/>
      <c r="Z3" s="4"/>
      <c r="AA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</row>
    <row r="4" spans="1:148" ht="95.25" customHeight="1">
      <c r="A4" s="6" t="s">
        <v>5</v>
      </c>
      <c r="B4" s="52" t="s">
        <v>6</v>
      </c>
      <c r="C4" s="45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5" t="s">
        <v>12</v>
      </c>
      <c r="I4" s="48" t="s">
        <v>13</v>
      </c>
      <c r="J4" s="50"/>
      <c r="K4" s="49"/>
      <c r="L4" s="48" t="s">
        <v>14</v>
      </c>
      <c r="M4" s="50"/>
      <c r="N4" s="50"/>
      <c r="O4" s="49"/>
      <c r="P4" s="45" t="s">
        <v>15</v>
      </c>
      <c r="Q4" s="48" t="s">
        <v>16</v>
      </c>
      <c r="R4" s="50"/>
      <c r="S4" s="49"/>
      <c r="T4" s="45" t="s">
        <v>17</v>
      </c>
      <c r="U4" s="7"/>
      <c r="V4" s="3"/>
      <c r="W4" s="3"/>
      <c r="X4" s="3"/>
      <c r="Y4" s="4"/>
      <c r="Z4" s="4"/>
      <c r="AA4" s="4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</row>
    <row r="5" spans="1:148" ht="25.5" customHeight="1">
      <c r="A5" s="1" t="s">
        <v>265</v>
      </c>
      <c r="B5" s="53"/>
      <c r="C5" s="46"/>
      <c r="D5" s="46"/>
      <c r="E5" s="46"/>
      <c r="F5" s="46"/>
      <c r="G5" s="46"/>
      <c r="H5" s="46"/>
      <c r="I5" s="48" t="s">
        <v>19</v>
      </c>
      <c r="J5" s="49"/>
      <c r="K5" s="26" t="s">
        <v>20</v>
      </c>
      <c r="L5" s="48" t="s">
        <v>21</v>
      </c>
      <c r="M5" s="49"/>
      <c r="N5" s="48" t="s">
        <v>22</v>
      </c>
      <c r="O5" s="49"/>
      <c r="P5" s="46"/>
      <c r="Q5" s="45" t="s">
        <v>23</v>
      </c>
      <c r="R5" s="45" t="s">
        <v>24</v>
      </c>
      <c r="S5" s="45" t="s">
        <v>25</v>
      </c>
      <c r="T5" s="46"/>
      <c r="U5" s="7"/>
      <c r="V5" s="3"/>
      <c r="W5" s="3"/>
      <c r="X5" s="3"/>
      <c r="Y5" s="4"/>
      <c r="Z5" s="4"/>
      <c r="AA5" s="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ht="15">
      <c r="A6" s="7"/>
      <c r="B6" s="53"/>
      <c r="C6" s="46"/>
      <c r="D6" s="46"/>
      <c r="E6" s="46"/>
      <c r="F6" s="46"/>
      <c r="G6" s="46"/>
      <c r="H6" s="46"/>
      <c r="I6" s="45" t="s">
        <v>26</v>
      </c>
      <c r="J6" s="45" t="s">
        <v>27</v>
      </c>
      <c r="K6" s="45" t="s">
        <v>28</v>
      </c>
      <c r="L6" s="45" t="s">
        <v>24</v>
      </c>
      <c r="M6" s="45" t="s">
        <v>25</v>
      </c>
      <c r="N6" s="45" t="s">
        <v>24</v>
      </c>
      <c r="O6" s="45" t="s">
        <v>25</v>
      </c>
      <c r="P6" s="46"/>
      <c r="Q6" s="46"/>
      <c r="R6" s="46"/>
      <c r="S6" s="46"/>
      <c r="T6" s="46"/>
      <c r="U6" s="7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ht="15">
      <c r="A7" s="7"/>
      <c r="B7" s="5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ht="15">
      <c r="A8" s="9"/>
      <c r="B8" s="54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7"/>
      <c r="V8" s="3" t="s">
        <v>29</v>
      </c>
      <c r="W8" s="3" t="s">
        <v>29</v>
      </c>
      <c r="X8" s="3" t="s">
        <v>29</v>
      </c>
      <c r="Y8" s="3" t="s">
        <v>29</v>
      </c>
      <c r="Z8" s="3" t="s">
        <v>29</v>
      </c>
      <c r="AA8" s="3" t="s">
        <v>29</v>
      </c>
      <c r="AB8" s="3" t="s">
        <v>29</v>
      </c>
      <c r="AC8" s="3" t="s">
        <v>29</v>
      </c>
      <c r="AD8" s="3" t="s">
        <v>29</v>
      </c>
      <c r="AE8" s="3" t="s">
        <v>29</v>
      </c>
      <c r="AF8" s="3" t="s">
        <v>29</v>
      </c>
      <c r="AG8" s="3" t="s">
        <v>29</v>
      </c>
      <c r="AH8" s="3" t="s">
        <v>29</v>
      </c>
      <c r="AI8" s="3" t="s">
        <v>29</v>
      </c>
      <c r="AJ8" s="3" t="s">
        <v>29</v>
      </c>
      <c r="AK8" s="3" t="s">
        <v>29</v>
      </c>
      <c r="AL8" s="3" t="s">
        <v>29</v>
      </c>
      <c r="AM8" s="3" t="s">
        <v>29</v>
      </c>
      <c r="AN8" s="3" t="s">
        <v>29</v>
      </c>
      <c r="AO8" s="3" t="s">
        <v>29</v>
      </c>
      <c r="AP8" s="3" t="s">
        <v>29</v>
      </c>
      <c r="AQ8" s="3" t="s">
        <v>29</v>
      </c>
      <c r="AR8" s="3" t="s">
        <v>29</v>
      </c>
      <c r="AS8" s="3" t="s">
        <v>29</v>
      </c>
      <c r="AT8" s="3" t="s">
        <v>29</v>
      </c>
      <c r="AU8" s="3" t="s">
        <v>29</v>
      </c>
      <c r="AV8" s="3" t="s">
        <v>29</v>
      </c>
      <c r="AW8" s="3" t="s">
        <v>29</v>
      </c>
      <c r="AX8" s="3" t="s">
        <v>29</v>
      </c>
      <c r="AY8" s="3" t="s">
        <v>29</v>
      </c>
      <c r="AZ8" s="3" t="s">
        <v>29</v>
      </c>
      <c r="BA8" s="3" t="s">
        <v>29</v>
      </c>
      <c r="BB8" s="3" t="s">
        <v>29</v>
      </c>
      <c r="BC8" s="3" t="s">
        <v>29</v>
      </c>
      <c r="BD8" s="3" t="s">
        <v>29</v>
      </c>
      <c r="BE8" s="3" t="s">
        <v>29</v>
      </c>
      <c r="BF8" s="3" t="s">
        <v>29</v>
      </c>
      <c r="BG8" s="3" t="s">
        <v>29</v>
      </c>
      <c r="BH8" s="3" t="s">
        <v>29</v>
      </c>
      <c r="BI8" s="3" t="s">
        <v>29</v>
      </c>
      <c r="BJ8" s="3" t="s">
        <v>29</v>
      </c>
      <c r="BK8" s="3" t="s">
        <v>29</v>
      </c>
      <c r="BL8" s="3" t="s">
        <v>29</v>
      </c>
      <c r="BM8" s="3" t="s">
        <v>29</v>
      </c>
      <c r="BN8" s="3" t="s">
        <v>29</v>
      </c>
      <c r="BO8" s="3" t="s">
        <v>29</v>
      </c>
      <c r="BP8" s="3" t="s">
        <v>29</v>
      </c>
      <c r="BQ8" s="3" t="s">
        <v>29</v>
      </c>
      <c r="BR8" s="3" t="s">
        <v>29</v>
      </c>
      <c r="BS8" s="3" t="s">
        <v>29</v>
      </c>
      <c r="BT8" s="3" t="s">
        <v>29</v>
      </c>
      <c r="BU8" s="3" t="s">
        <v>29</v>
      </c>
      <c r="BV8" s="3" t="s">
        <v>29</v>
      </c>
      <c r="BW8" s="3" t="s">
        <v>29</v>
      </c>
      <c r="BX8" s="3" t="s">
        <v>29</v>
      </c>
      <c r="BY8" s="3" t="s">
        <v>29</v>
      </c>
      <c r="BZ8" s="3" t="s">
        <v>29</v>
      </c>
      <c r="CA8" s="3" t="s">
        <v>29</v>
      </c>
      <c r="CB8" s="3" t="s">
        <v>29</v>
      </c>
      <c r="CC8" s="3" t="s">
        <v>29</v>
      </c>
      <c r="CD8" s="3" t="s">
        <v>29</v>
      </c>
      <c r="CE8" s="3" t="s">
        <v>29</v>
      </c>
      <c r="CF8" s="3" t="s">
        <v>29</v>
      </c>
      <c r="CG8" s="3" t="s">
        <v>29</v>
      </c>
      <c r="CH8" s="3" t="s">
        <v>29</v>
      </c>
      <c r="CI8" s="3" t="s">
        <v>29</v>
      </c>
      <c r="CJ8" s="3" t="s">
        <v>29</v>
      </c>
      <c r="CK8" s="3" t="s">
        <v>29</v>
      </c>
      <c r="CL8" s="3" t="s">
        <v>29</v>
      </c>
      <c r="CM8" s="3" t="s">
        <v>29</v>
      </c>
      <c r="CN8" s="3" t="s">
        <v>29</v>
      </c>
      <c r="CO8" s="3" t="s">
        <v>29</v>
      </c>
      <c r="CP8" s="3" t="s">
        <v>29</v>
      </c>
      <c r="CQ8" s="3" t="s">
        <v>29</v>
      </c>
      <c r="CR8" s="3" t="s">
        <v>29</v>
      </c>
      <c r="CS8" s="3" t="s">
        <v>29</v>
      </c>
      <c r="CT8" s="3" t="s">
        <v>29</v>
      </c>
      <c r="CU8" s="3" t="s">
        <v>29</v>
      </c>
      <c r="CV8" s="3" t="s">
        <v>29</v>
      </c>
      <c r="CW8" s="3" t="s">
        <v>29</v>
      </c>
      <c r="CX8" s="3" t="s">
        <v>29</v>
      </c>
      <c r="CY8" s="3" t="s">
        <v>29</v>
      </c>
      <c r="CZ8" s="3" t="s">
        <v>29</v>
      </c>
      <c r="DA8" s="3" t="s">
        <v>29</v>
      </c>
      <c r="DB8" s="3" t="s">
        <v>29</v>
      </c>
      <c r="DC8" s="3" t="s">
        <v>29</v>
      </c>
      <c r="DD8" s="3" t="s">
        <v>29</v>
      </c>
      <c r="DE8" s="3" t="s">
        <v>29</v>
      </c>
      <c r="DF8" s="3" t="s">
        <v>29</v>
      </c>
      <c r="DG8" s="3" t="s">
        <v>29</v>
      </c>
      <c r="DH8" s="3" t="s">
        <v>29</v>
      </c>
      <c r="DI8" s="3" t="s">
        <v>29</v>
      </c>
      <c r="DJ8" s="3" t="s">
        <v>29</v>
      </c>
      <c r="DK8" s="3" t="s">
        <v>29</v>
      </c>
      <c r="DL8" s="3" t="s">
        <v>29</v>
      </c>
      <c r="DM8" s="3" t="s">
        <v>29</v>
      </c>
      <c r="DN8" s="3" t="s">
        <v>29</v>
      </c>
      <c r="DO8" s="3" t="s">
        <v>29</v>
      </c>
      <c r="DP8" s="3" t="s">
        <v>29</v>
      </c>
      <c r="DQ8" s="3" t="s">
        <v>29</v>
      </c>
      <c r="DR8" s="3" t="s">
        <v>29</v>
      </c>
      <c r="DS8" s="3" t="s">
        <v>29</v>
      </c>
      <c r="DT8" s="3" t="s">
        <v>29</v>
      </c>
      <c r="DU8" s="3" t="s">
        <v>29</v>
      </c>
      <c r="DV8" s="3" t="s">
        <v>29</v>
      </c>
      <c r="DW8" s="3" t="s">
        <v>29</v>
      </c>
      <c r="DX8" s="3" t="s">
        <v>29</v>
      </c>
      <c r="DY8" s="3" t="s">
        <v>29</v>
      </c>
      <c r="DZ8" s="3" t="s">
        <v>29</v>
      </c>
      <c r="EA8" s="3" t="s">
        <v>29</v>
      </c>
      <c r="EB8" s="3" t="s">
        <v>29</v>
      </c>
      <c r="EC8" s="3" t="s">
        <v>29</v>
      </c>
      <c r="ED8" s="3" t="s">
        <v>29</v>
      </c>
      <c r="EE8" s="3" t="s">
        <v>29</v>
      </c>
      <c r="EF8" s="3" t="s">
        <v>29</v>
      </c>
      <c r="EG8" s="3" t="s">
        <v>29</v>
      </c>
      <c r="EH8" s="3" t="s">
        <v>29</v>
      </c>
      <c r="EI8" s="3" t="s">
        <v>29</v>
      </c>
      <c r="EJ8" s="3" t="s">
        <v>29</v>
      </c>
      <c r="EK8" s="3" t="s">
        <v>29</v>
      </c>
      <c r="EL8" s="3" t="s">
        <v>29</v>
      </c>
      <c r="EM8" s="3" t="s">
        <v>29</v>
      </c>
      <c r="EN8" s="3" t="s">
        <v>29</v>
      </c>
      <c r="EO8" s="3" t="s">
        <v>29</v>
      </c>
      <c r="EP8" s="3" t="s">
        <v>29</v>
      </c>
      <c r="EQ8" s="3" t="s">
        <v>29</v>
      </c>
      <c r="ER8" s="3" t="s">
        <v>29</v>
      </c>
    </row>
    <row r="9" spans="1:148" ht="15" hidden="1">
      <c r="A9" s="3" t="s">
        <v>30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</row>
    <row r="10" spans="1:148" ht="255">
      <c r="A10" s="11" t="s">
        <v>31</v>
      </c>
      <c r="B10" s="12" t="s">
        <v>32</v>
      </c>
      <c r="C10" s="13" t="s">
        <v>266</v>
      </c>
      <c r="D10" s="23">
        <f>176600000</f>
        <v>176600000</v>
      </c>
      <c r="E10" s="13" t="s">
        <v>267</v>
      </c>
      <c r="F10" s="13" t="s">
        <v>268</v>
      </c>
      <c r="G10" s="13" t="s">
        <v>269</v>
      </c>
      <c r="H10" s="13" t="s">
        <v>238</v>
      </c>
      <c r="I10" s="13" t="s">
        <v>270</v>
      </c>
      <c r="J10" s="13" t="s">
        <v>271</v>
      </c>
      <c r="K10" s="13" t="s">
        <v>272</v>
      </c>
      <c r="L10" s="13"/>
      <c r="M10" s="13"/>
      <c r="N10" s="13"/>
      <c r="O10" s="23"/>
      <c r="P10" s="23">
        <f>176600000</f>
        <v>176600000</v>
      </c>
      <c r="Q10" s="13" t="s">
        <v>40</v>
      </c>
      <c r="R10" s="13" t="s">
        <v>273</v>
      </c>
      <c r="S10" s="23">
        <f>2244997.26</f>
        <v>2244997.26</v>
      </c>
      <c r="T10" s="13"/>
      <c r="U10" s="7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</row>
    <row r="11" spans="1:148" ht="15">
      <c r="A11" s="14" t="s">
        <v>32</v>
      </c>
      <c r="B11" s="15"/>
      <c r="C11" s="15"/>
      <c r="D11" s="2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4"/>
      <c r="P11" s="24"/>
      <c r="Q11" s="15" t="s">
        <v>40</v>
      </c>
      <c r="R11" s="15" t="s">
        <v>274</v>
      </c>
      <c r="S11" s="24">
        <f>3532000</f>
        <v>3532000</v>
      </c>
      <c r="T11" s="15"/>
      <c r="U11" s="7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</row>
    <row r="12" spans="1:148" ht="15">
      <c r="A12" s="14" t="s">
        <v>32</v>
      </c>
      <c r="B12" s="15"/>
      <c r="C12" s="15"/>
      <c r="D12" s="2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4"/>
      <c r="P12" s="24"/>
      <c r="Q12" s="15" t="s">
        <v>40</v>
      </c>
      <c r="R12" s="15" t="s">
        <v>275</v>
      </c>
      <c r="S12" s="24">
        <f>3532000</f>
        <v>3532000</v>
      </c>
      <c r="T12" s="15"/>
      <c r="U12" s="7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</row>
    <row r="13" spans="1:148" ht="242.25">
      <c r="A13" s="11" t="s">
        <v>31</v>
      </c>
      <c r="B13" s="12" t="s">
        <v>60</v>
      </c>
      <c r="C13" s="13" t="s">
        <v>276</v>
      </c>
      <c r="D13" s="23">
        <f>110888000</f>
        <v>110888000</v>
      </c>
      <c r="E13" s="13" t="s">
        <v>267</v>
      </c>
      <c r="F13" s="13" t="s">
        <v>277</v>
      </c>
      <c r="G13" s="13" t="s">
        <v>278</v>
      </c>
      <c r="H13" s="13" t="s">
        <v>238</v>
      </c>
      <c r="I13" s="13" t="s">
        <v>279</v>
      </c>
      <c r="J13" s="13" t="s">
        <v>280</v>
      </c>
      <c r="K13" s="13" t="s">
        <v>281</v>
      </c>
      <c r="L13" s="13"/>
      <c r="M13" s="13"/>
      <c r="N13" s="13"/>
      <c r="O13" s="23"/>
      <c r="P13" s="23">
        <f>110888000</f>
        <v>110888000</v>
      </c>
      <c r="Q13" s="13" t="s">
        <v>40</v>
      </c>
      <c r="R13" s="13" t="s">
        <v>273</v>
      </c>
      <c r="S13" s="23">
        <f>847609.64</f>
        <v>847609.64</v>
      </c>
      <c r="T13" s="13" t="s">
        <v>282</v>
      </c>
      <c r="U13" s="7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</row>
    <row r="14" spans="1:148" ht="15">
      <c r="A14" s="14" t="s">
        <v>32</v>
      </c>
      <c r="B14" s="15"/>
      <c r="C14" s="15"/>
      <c r="D14" s="2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4"/>
      <c r="P14" s="24"/>
      <c r="Q14" s="15" t="s">
        <v>40</v>
      </c>
      <c r="R14" s="15" t="s">
        <v>274</v>
      </c>
      <c r="S14" s="24">
        <f>2148455</f>
        <v>2148455</v>
      </c>
      <c r="T14" s="15"/>
      <c r="U14" s="7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</row>
    <row r="15" spans="1:148" ht="15">
      <c r="A15" s="14" t="s">
        <v>32</v>
      </c>
      <c r="B15" s="15"/>
      <c r="C15" s="15"/>
      <c r="D15" s="2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"/>
      <c r="P15" s="24"/>
      <c r="Q15" s="15" t="s">
        <v>40</v>
      </c>
      <c r="R15" s="15" t="s">
        <v>275</v>
      </c>
      <c r="S15" s="24">
        <f>2122626.58</f>
        <v>2122626.58</v>
      </c>
      <c r="T15" s="15"/>
      <c r="U15" s="7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</row>
    <row r="16" spans="1:148" ht="242.25">
      <c r="A16" s="11" t="s">
        <v>31</v>
      </c>
      <c r="B16" s="12" t="s">
        <v>64</v>
      </c>
      <c r="C16" s="13" t="s">
        <v>276</v>
      </c>
      <c r="D16" s="23">
        <f>348529000</f>
        <v>348529000</v>
      </c>
      <c r="E16" s="13" t="s">
        <v>267</v>
      </c>
      <c r="F16" s="13" t="s">
        <v>283</v>
      </c>
      <c r="G16" s="13" t="s">
        <v>278</v>
      </c>
      <c r="H16" s="13" t="s">
        <v>238</v>
      </c>
      <c r="I16" s="13" t="s">
        <v>284</v>
      </c>
      <c r="J16" s="13" t="s">
        <v>280</v>
      </c>
      <c r="K16" s="13" t="s">
        <v>285</v>
      </c>
      <c r="L16" s="13"/>
      <c r="M16" s="13"/>
      <c r="N16" s="13"/>
      <c r="O16" s="23"/>
      <c r="P16" s="23">
        <f>348529000</f>
        <v>348529000</v>
      </c>
      <c r="Q16" s="13" t="s">
        <v>40</v>
      </c>
      <c r="R16" s="13" t="s">
        <v>286</v>
      </c>
      <c r="S16" s="23">
        <f>333012.3</f>
        <v>333012.3</v>
      </c>
      <c r="T16" s="13" t="s">
        <v>282</v>
      </c>
      <c r="U16" s="7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</row>
    <row r="17" spans="1:148" ht="15">
      <c r="A17" s="14" t="s">
        <v>32</v>
      </c>
      <c r="B17" s="15"/>
      <c r="C17" s="15"/>
      <c r="D17" s="2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4"/>
      <c r="P17" s="24"/>
      <c r="Q17" s="15" t="s">
        <v>40</v>
      </c>
      <c r="R17" s="15" t="s">
        <v>274</v>
      </c>
      <c r="S17" s="24">
        <f>6752749.38</f>
        <v>6752749.38</v>
      </c>
      <c r="T17" s="15"/>
      <c r="U17" s="7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</row>
    <row r="18" spans="1:148" ht="15">
      <c r="A18" s="14" t="s">
        <v>32</v>
      </c>
      <c r="B18" s="15"/>
      <c r="C18" s="15"/>
      <c r="D18" s="2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4"/>
      <c r="P18" s="24"/>
      <c r="Q18" s="15" t="s">
        <v>40</v>
      </c>
      <c r="R18" s="15" t="s">
        <v>275</v>
      </c>
      <c r="S18" s="24">
        <f>6671568.78</f>
        <v>6671568.78</v>
      </c>
      <c r="T18" s="15"/>
      <c r="U18" s="7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</row>
    <row r="19" spans="1:148" ht="191.25">
      <c r="A19" s="11" t="s">
        <v>31</v>
      </c>
      <c r="B19" s="12" t="s">
        <v>66</v>
      </c>
      <c r="C19" s="13" t="s">
        <v>276</v>
      </c>
      <c r="D19" s="23">
        <f>350000000</f>
        <v>350000000</v>
      </c>
      <c r="E19" s="13" t="s">
        <v>287</v>
      </c>
      <c r="F19" s="13" t="s">
        <v>288</v>
      </c>
      <c r="G19" s="13" t="s">
        <v>278</v>
      </c>
      <c r="H19" s="13" t="s">
        <v>238</v>
      </c>
      <c r="I19" s="13" t="s">
        <v>289</v>
      </c>
      <c r="J19" s="13" t="s">
        <v>290</v>
      </c>
      <c r="K19" s="13" t="s">
        <v>291</v>
      </c>
      <c r="L19" s="13"/>
      <c r="M19" s="13"/>
      <c r="N19" s="13"/>
      <c r="O19" s="23"/>
      <c r="P19" s="23">
        <f>350000000</f>
        <v>350000000</v>
      </c>
      <c r="Q19" s="13" t="s">
        <v>40</v>
      </c>
      <c r="R19" s="13" t="s">
        <v>275</v>
      </c>
      <c r="S19" s="23">
        <f>3550204.92</f>
        <v>3550204.92</v>
      </c>
      <c r="T19" s="13"/>
      <c r="U19" s="7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</row>
    <row r="20" spans="1:148" s="22" customFormat="1" ht="15">
      <c r="A20" s="18" t="s">
        <v>217</v>
      </c>
      <c r="B20" s="19"/>
      <c r="C20" s="19"/>
      <c r="D20" s="25">
        <v>986017000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5"/>
      <c r="P20" s="25">
        <v>986017000</v>
      </c>
      <c r="Q20" s="19"/>
      <c r="R20" s="19"/>
      <c r="S20" s="25">
        <v>31735223.86</v>
      </c>
      <c r="T20" s="19"/>
      <c r="U20" s="20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</row>
    <row r="21" spans="1:148" ht="15">
      <c r="A21" s="16" t="s">
        <v>216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</row>
    <row r="22" spans="1:148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</row>
    <row r="23" spans="1:148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</row>
  </sheetData>
  <sheetProtection/>
  <mergeCells count="30">
    <mergeCell ref="B1:T1"/>
    <mergeCell ref="B2:T2"/>
    <mergeCell ref="B3:T3"/>
    <mergeCell ref="B4:B8"/>
    <mergeCell ref="C4:C8"/>
    <mergeCell ref="D4:D8"/>
    <mergeCell ref="E4:E8"/>
    <mergeCell ref="F4:F8"/>
    <mergeCell ref="G4:G8"/>
    <mergeCell ref="H4:H8"/>
    <mergeCell ref="I4:K4"/>
    <mergeCell ref="L4:O4"/>
    <mergeCell ref="P4:P8"/>
    <mergeCell ref="Q4:S4"/>
    <mergeCell ref="T4:T8"/>
    <mergeCell ref="I5:J5"/>
    <mergeCell ref="L5:M5"/>
    <mergeCell ref="N5:O5"/>
    <mergeCell ref="Q5:Q8"/>
    <mergeCell ref="R5:R8"/>
    <mergeCell ref="A22:ER22"/>
    <mergeCell ref="A23:ER23"/>
    <mergeCell ref="S5:S8"/>
    <mergeCell ref="I6:I8"/>
    <mergeCell ref="J6:J8"/>
    <mergeCell ref="K6:K8"/>
    <mergeCell ref="L6:L8"/>
    <mergeCell ref="M6:M8"/>
    <mergeCell ref="N6:N8"/>
    <mergeCell ref="O6:O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O17"/>
  <sheetViews>
    <sheetView zoomScalePageLayoutView="0" workbookViewId="0" topLeftCell="A1">
      <selection activeCell="B16" sqref="B16:EO16"/>
    </sheetView>
  </sheetViews>
  <sheetFormatPr defaultColWidth="9.140625" defaultRowHeight="15"/>
  <cols>
    <col min="1" max="2" width="0.13671875" style="0" customWidth="1"/>
    <col min="3" max="3" width="34.00390625" style="0" customWidth="1"/>
    <col min="4" max="4" width="19.28125" style="0" customWidth="1"/>
    <col min="5" max="5" width="19.421875" style="0" customWidth="1"/>
    <col min="6" max="6" width="19.7109375" style="0" customWidth="1"/>
    <col min="7" max="7" width="19.00390625" style="0" customWidth="1"/>
    <col min="8" max="8" width="19.7109375" style="0" customWidth="1"/>
    <col min="9" max="9" width="19.57421875" style="0" customWidth="1"/>
    <col min="10" max="10" width="19.7109375" style="0" customWidth="1"/>
    <col min="11" max="11" width="19.140625" style="0" customWidth="1"/>
    <col min="12" max="13" width="19.7109375" style="0" customWidth="1"/>
    <col min="14" max="17" width="16.7109375" style="0" customWidth="1"/>
    <col min="18" max="18" width="0.13671875" style="0" customWidth="1"/>
    <col min="19" max="145" width="0" style="0" hidden="1" customWidth="1"/>
  </cols>
  <sheetData>
    <row r="1" spans="1:145" s="33" customFormat="1" ht="21">
      <c r="A1" s="29" t="s">
        <v>1</v>
      </c>
      <c r="B1" s="30" t="s">
        <v>292</v>
      </c>
      <c r="C1" s="57" t="s">
        <v>293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31"/>
      <c r="S1" s="31"/>
      <c r="T1" s="31"/>
      <c r="U1" s="31"/>
      <c r="V1" s="31"/>
      <c r="W1" s="31"/>
      <c r="X1" s="31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</row>
    <row r="2" spans="1:145" s="33" customFormat="1" ht="21">
      <c r="A2" s="29" t="s">
        <v>3</v>
      </c>
      <c r="B2" s="34"/>
      <c r="C2" s="61" t="s">
        <v>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32"/>
      <c r="S2" s="32"/>
      <c r="T2" s="32"/>
      <c r="U2" s="32"/>
      <c r="V2" s="35"/>
      <c r="W2" s="35"/>
      <c r="X2" s="35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</row>
    <row r="3" spans="1:145" ht="15">
      <c r="A3" s="36" t="s">
        <v>5</v>
      </c>
      <c r="B3" s="37"/>
      <c r="C3" s="52"/>
      <c r="D3" s="45" t="s">
        <v>294</v>
      </c>
      <c r="E3" s="45" t="s">
        <v>295</v>
      </c>
      <c r="F3" s="45" t="s">
        <v>296</v>
      </c>
      <c r="G3" s="45" t="s">
        <v>297</v>
      </c>
      <c r="H3" s="45" t="s">
        <v>298</v>
      </c>
      <c r="I3" s="45" t="s">
        <v>299</v>
      </c>
      <c r="J3" s="45" t="s">
        <v>300</v>
      </c>
      <c r="K3" s="45" t="s">
        <v>301</v>
      </c>
      <c r="L3" s="45" t="s">
        <v>302</v>
      </c>
      <c r="M3" s="45" t="s">
        <v>303</v>
      </c>
      <c r="N3" s="45" t="s">
        <v>304</v>
      </c>
      <c r="O3" s="45" t="s">
        <v>305</v>
      </c>
      <c r="P3" s="45" t="s">
        <v>306</v>
      </c>
      <c r="Q3" s="45" t="s">
        <v>307</v>
      </c>
      <c r="R3" s="7"/>
      <c r="S3" s="3"/>
      <c r="T3" s="3"/>
      <c r="U3" s="3"/>
      <c r="V3" s="4"/>
      <c r="W3" s="4"/>
      <c r="X3" s="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</row>
    <row r="4" spans="1:145" ht="15">
      <c r="A4" s="38"/>
      <c r="B4" s="7"/>
      <c r="C4" s="53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7"/>
      <c r="S4" s="3"/>
      <c r="T4" s="3"/>
      <c r="U4" s="3"/>
      <c r="V4" s="4"/>
      <c r="W4" s="4"/>
      <c r="X4" s="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</row>
    <row r="5" spans="1:145" ht="15">
      <c r="A5" s="38"/>
      <c r="B5" s="7"/>
      <c r="C5" s="53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7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</row>
    <row r="6" spans="1:145" ht="15">
      <c r="A6" s="38"/>
      <c r="B6" s="7"/>
      <c r="C6" s="53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7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</row>
    <row r="7" spans="1:145" ht="15">
      <c r="A7" s="38"/>
      <c r="B7" s="7"/>
      <c r="C7" s="54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7"/>
      <c r="S7" s="3" t="s">
        <v>29</v>
      </c>
      <c r="T7" s="3" t="s">
        <v>29</v>
      </c>
      <c r="U7" s="3" t="s">
        <v>29</v>
      </c>
      <c r="V7" s="3" t="s">
        <v>29</v>
      </c>
      <c r="W7" s="3" t="s">
        <v>29</v>
      </c>
      <c r="X7" s="3" t="s">
        <v>29</v>
      </c>
      <c r="Y7" s="3" t="s">
        <v>29</v>
      </c>
      <c r="Z7" s="3" t="s">
        <v>29</v>
      </c>
      <c r="AA7" s="3" t="s">
        <v>29</v>
      </c>
      <c r="AB7" s="3" t="s">
        <v>29</v>
      </c>
      <c r="AC7" s="3" t="s">
        <v>29</v>
      </c>
      <c r="AD7" s="3" t="s">
        <v>29</v>
      </c>
      <c r="AE7" s="3" t="s">
        <v>29</v>
      </c>
      <c r="AF7" s="3" t="s">
        <v>29</v>
      </c>
      <c r="AG7" s="3" t="s">
        <v>29</v>
      </c>
      <c r="AH7" s="3" t="s">
        <v>29</v>
      </c>
      <c r="AI7" s="3" t="s">
        <v>29</v>
      </c>
      <c r="AJ7" s="3" t="s">
        <v>29</v>
      </c>
      <c r="AK7" s="3" t="s">
        <v>29</v>
      </c>
      <c r="AL7" s="3" t="s">
        <v>29</v>
      </c>
      <c r="AM7" s="3" t="s">
        <v>29</v>
      </c>
      <c r="AN7" s="3" t="s">
        <v>29</v>
      </c>
      <c r="AO7" s="3" t="s">
        <v>29</v>
      </c>
      <c r="AP7" s="3" t="s">
        <v>29</v>
      </c>
      <c r="AQ7" s="3" t="s">
        <v>29</v>
      </c>
      <c r="AR7" s="3" t="s">
        <v>29</v>
      </c>
      <c r="AS7" s="3" t="s">
        <v>29</v>
      </c>
      <c r="AT7" s="3" t="s">
        <v>29</v>
      </c>
      <c r="AU7" s="3" t="s">
        <v>29</v>
      </c>
      <c r="AV7" s="3" t="s">
        <v>29</v>
      </c>
      <c r="AW7" s="3" t="s">
        <v>29</v>
      </c>
      <c r="AX7" s="3" t="s">
        <v>29</v>
      </c>
      <c r="AY7" s="3" t="s">
        <v>29</v>
      </c>
      <c r="AZ7" s="3" t="s">
        <v>29</v>
      </c>
      <c r="BA7" s="3" t="s">
        <v>29</v>
      </c>
      <c r="BB7" s="3" t="s">
        <v>29</v>
      </c>
      <c r="BC7" s="3" t="s">
        <v>29</v>
      </c>
      <c r="BD7" s="3" t="s">
        <v>29</v>
      </c>
      <c r="BE7" s="3" t="s">
        <v>29</v>
      </c>
      <c r="BF7" s="3" t="s">
        <v>29</v>
      </c>
      <c r="BG7" s="3" t="s">
        <v>29</v>
      </c>
      <c r="BH7" s="3" t="s">
        <v>29</v>
      </c>
      <c r="BI7" s="3" t="s">
        <v>29</v>
      </c>
      <c r="BJ7" s="3" t="s">
        <v>29</v>
      </c>
      <c r="BK7" s="3" t="s">
        <v>29</v>
      </c>
      <c r="BL7" s="3" t="s">
        <v>29</v>
      </c>
      <c r="BM7" s="3" t="s">
        <v>29</v>
      </c>
      <c r="BN7" s="3" t="s">
        <v>29</v>
      </c>
      <c r="BO7" s="3" t="s">
        <v>29</v>
      </c>
      <c r="BP7" s="3" t="s">
        <v>29</v>
      </c>
      <c r="BQ7" s="3" t="s">
        <v>29</v>
      </c>
      <c r="BR7" s="3" t="s">
        <v>29</v>
      </c>
      <c r="BS7" s="3" t="s">
        <v>29</v>
      </c>
      <c r="BT7" s="3" t="s">
        <v>29</v>
      </c>
      <c r="BU7" s="3" t="s">
        <v>29</v>
      </c>
      <c r="BV7" s="3" t="s">
        <v>29</v>
      </c>
      <c r="BW7" s="3" t="s">
        <v>29</v>
      </c>
      <c r="BX7" s="3" t="s">
        <v>29</v>
      </c>
      <c r="BY7" s="3" t="s">
        <v>29</v>
      </c>
      <c r="BZ7" s="3" t="s">
        <v>29</v>
      </c>
      <c r="CA7" s="3" t="s">
        <v>29</v>
      </c>
      <c r="CB7" s="3" t="s">
        <v>29</v>
      </c>
      <c r="CC7" s="3" t="s">
        <v>29</v>
      </c>
      <c r="CD7" s="3" t="s">
        <v>29</v>
      </c>
      <c r="CE7" s="3" t="s">
        <v>29</v>
      </c>
      <c r="CF7" s="3" t="s">
        <v>29</v>
      </c>
      <c r="CG7" s="3" t="s">
        <v>29</v>
      </c>
      <c r="CH7" s="3" t="s">
        <v>29</v>
      </c>
      <c r="CI7" s="3" t="s">
        <v>29</v>
      </c>
      <c r="CJ7" s="3" t="s">
        <v>29</v>
      </c>
      <c r="CK7" s="3" t="s">
        <v>29</v>
      </c>
      <c r="CL7" s="3" t="s">
        <v>29</v>
      </c>
      <c r="CM7" s="3" t="s">
        <v>29</v>
      </c>
      <c r="CN7" s="3" t="s">
        <v>29</v>
      </c>
      <c r="CO7" s="3" t="s">
        <v>29</v>
      </c>
      <c r="CP7" s="3" t="s">
        <v>29</v>
      </c>
      <c r="CQ7" s="3" t="s">
        <v>29</v>
      </c>
      <c r="CR7" s="3" t="s">
        <v>29</v>
      </c>
      <c r="CS7" s="3" t="s">
        <v>29</v>
      </c>
      <c r="CT7" s="3" t="s">
        <v>29</v>
      </c>
      <c r="CU7" s="3" t="s">
        <v>29</v>
      </c>
      <c r="CV7" s="3" t="s">
        <v>29</v>
      </c>
      <c r="CW7" s="3" t="s">
        <v>29</v>
      </c>
      <c r="CX7" s="3" t="s">
        <v>29</v>
      </c>
      <c r="CY7" s="3" t="s">
        <v>29</v>
      </c>
      <c r="CZ7" s="3" t="s">
        <v>29</v>
      </c>
      <c r="DA7" s="3" t="s">
        <v>29</v>
      </c>
      <c r="DB7" s="3" t="s">
        <v>29</v>
      </c>
      <c r="DC7" s="3" t="s">
        <v>29</v>
      </c>
      <c r="DD7" s="3" t="s">
        <v>29</v>
      </c>
      <c r="DE7" s="3" t="s">
        <v>29</v>
      </c>
      <c r="DF7" s="3" t="s">
        <v>29</v>
      </c>
      <c r="DG7" s="3" t="s">
        <v>29</v>
      </c>
      <c r="DH7" s="3" t="s">
        <v>29</v>
      </c>
      <c r="DI7" s="3" t="s">
        <v>29</v>
      </c>
      <c r="DJ7" s="3" t="s">
        <v>29</v>
      </c>
      <c r="DK7" s="3" t="s">
        <v>29</v>
      </c>
      <c r="DL7" s="3" t="s">
        <v>29</v>
      </c>
      <c r="DM7" s="3" t="s">
        <v>29</v>
      </c>
      <c r="DN7" s="3" t="s">
        <v>29</v>
      </c>
      <c r="DO7" s="3" t="s">
        <v>29</v>
      </c>
      <c r="DP7" s="3" t="s">
        <v>29</v>
      </c>
      <c r="DQ7" s="3" t="s">
        <v>29</v>
      </c>
      <c r="DR7" s="3" t="s">
        <v>29</v>
      </c>
      <c r="DS7" s="3" t="s">
        <v>29</v>
      </c>
      <c r="DT7" s="3" t="s">
        <v>29</v>
      </c>
      <c r="DU7" s="3" t="s">
        <v>29</v>
      </c>
      <c r="DV7" s="3" t="s">
        <v>29</v>
      </c>
      <c r="DW7" s="3" t="s">
        <v>29</v>
      </c>
      <c r="DX7" s="3" t="s">
        <v>29</v>
      </c>
      <c r="DY7" s="3" t="s">
        <v>29</v>
      </c>
      <c r="DZ7" s="3" t="s">
        <v>29</v>
      </c>
      <c r="EA7" s="3" t="s">
        <v>29</v>
      </c>
      <c r="EB7" s="3" t="s">
        <v>29</v>
      </c>
      <c r="EC7" s="3" t="s">
        <v>29</v>
      </c>
      <c r="ED7" s="3" t="s">
        <v>29</v>
      </c>
      <c r="EE7" s="3" t="s">
        <v>29</v>
      </c>
      <c r="EF7" s="3" t="s">
        <v>29</v>
      </c>
      <c r="EG7" s="3" t="s">
        <v>29</v>
      </c>
      <c r="EH7" s="3" t="s">
        <v>29</v>
      </c>
      <c r="EI7" s="3" t="s">
        <v>29</v>
      </c>
      <c r="EJ7" s="3" t="s">
        <v>29</v>
      </c>
      <c r="EK7" s="3" t="s">
        <v>29</v>
      </c>
      <c r="EL7" s="3" t="s">
        <v>29</v>
      </c>
      <c r="EM7" s="3" t="s">
        <v>29</v>
      </c>
      <c r="EN7" s="3" t="s">
        <v>29</v>
      </c>
      <c r="EO7" s="3" t="s">
        <v>29</v>
      </c>
    </row>
    <row r="8" spans="1:145" ht="15" hidden="1">
      <c r="A8" s="38" t="s">
        <v>30</v>
      </c>
      <c r="B8" s="7"/>
      <c r="C8" s="26" t="s">
        <v>32</v>
      </c>
      <c r="D8" s="26" t="s">
        <v>60</v>
      </c>
      <c r="E8" s="26" t="s">
        <v>64</v>
      </c>
      <c r="F8" s="26" t="s">
        <v>66</v>
      </c>
      <c r="G8" s="26" t="s">
        <v>74</v>
      </c>
      <c r="H8" s="26" t="s">
        <v>77</v>
      </c>
      <c r="I8" s="26" t="s">
        <v>81</v>
      </c>
      <c r="J8" s="26" t="s">
        <v>87</v>
      </c>
      <c r="K8" s="26" t="s">
        <v>71</v>
      </c>
      <c r="L8" s="26" t="s">
        <v>92</v>
      </c>
      <c r="M8" s="26" t="s">
        <v>95</v>
      </c>
      <c r="N8" s="26" t="s">
        <v>97</v>
      </c>
      <c r="O8" s="26" t="s">
        <v>101</v>
      </c>
      <c r="P8" s="26" t="s">
        <v>103</v>
      </c>
      <c r="Q8" s="26" t="s">
        <v>120</v>
      </c>
      <c r="R8" s="7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</row>
    <row r="9" spans="1:145" ht="15" hidden="1">
      <c r="A9" s="38" t="s">
        <v>30</v>
      </c>
      <c r="B9" s="7"/>
      <c r="C9" s="26" t="s">
        <v>32</v>
      </c>
      <c r="D9" s="26" t="s">
        <v>60</v>
      </c>
      <c r="E9" s="26" t="s">
        <v>64</v>
      </c>
      <c r="F9" s="26" t="s">
        <v>66</v>
      </c>
      <c r="G9" s="26" t="s">
        <v>74</v>
      </c>
      <c r="H9" s="26" t="s">
        <v>77</v>
      </c>
      <c r="I9" s="26" t="s">
        <v>81</v>
      </c>
      <c r="J9" s="26" t="s">
        <v>87</v>
      </c>
      <c r="K9" s="26" t="s">
        <v>71</v>
      </c>
      <c r="L9" s="26" t="s">
        <v>92</v>
      </c>
      <c r="M9" s="26" t="s">
        <v>95</v>
      </c>
      <c r="N9" s="26" t="s">
        <v>97</v>
      </c>
      <c r="O9" s="26" t="s">
        <v>101</v>
      </c>
      <c r="P9" s="26" t="s">
        <v>103</v>
      </c>
      <c r="Q9" s="26" t="s">
        <v>120</v>
      </c>
      <c r="R9" s="7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</row>
    <row r="10" spans="1:22" ht="78" customHeight="1">
      <c r="A10" s="39" t="s">
        <v>308</v>
      </c>
      <c r="B10" s="40"/>
      <c r="C10" s="41" t="s">
        <v>308</v>
      </c>
      <c r="D10" s="42">
        <f>5618223800</f>
        <v>5618223800</v>
      </c>
      <c r="E10" s="42">
        <f>5618223800</f>
        <v>5618223800</v>
      </c>
      <c r="F10" s="42">
        <f>5868223800</f>
        <v>5868223800</v>
      </c>
      <c r="G10" s="42">
        <f>6319733800</f>
        <v>6319733800</v>
      </c>
      <c r="H10" s="42">
        <f>5969733800</f>
        <v>5969733800</v>
      </c>
      <c r="I10" s="42">
        <f>5969733800</f>
        <v>5969733800</v>
      </c>
      <c r="J10" s="42">
        <f>6784790500</f>
        <v>6784790500</v>
      </c>
      <c r="K10" s="42">
        <f>6784790500</f>
        <v>6784790500</v>
      </c>
      <c r="L10" s="42">
        <f>7144790500</f>
        <v>7144790500</v>
      </c>
      <c r="M10" s="42">
        <f>7679733800</f>
        <v>7679733800</v>
      </c>
      <c r="N10" s="43">
        <f>0</f>
        <v>0</v>
      </c>
      <c r="O10" s="43">
        <f>0</f>
        <v>0</v>
      </c>
      <c r="P10" s="43">
        <f>0</f>
        <v>0</v>
      </c>
      <c r="Q10" s="43"/>
      <c r="R10" s="7"/>
      <c r="S10" s="3"/>
      <c r="T10" s="3"/>
      <c r="U10" s="3"/>
      <c r="V10" s="3"/>
    </row>
    <row r="11" spans="1:22" ht="79.5" customHeight="1">
      <c r="A11" s="39" t="s">
        <v>309</v>
      </c>
      <c r="B11" s="40"/>
      <c r="C11" s="41" t="s">
        <v>309</v>
      </c>
      <c r="D11" s="42">
        <f>0</f>
        <v>0</v>
      </c>
      <c r="E11" s="42">
        <f>0</f>
        <v>0</v>
      </c>
      <c r="F11" s="42">
        <f>0</f>
        <v>0</v>
      </c>
      <c r="G11" s="42">
        <f>0</f>
        <v>0</v>
      </c>
      <c r="H11" s="42">
        <f>0</f>
        <v>0</v>
      </c>
      <c r="I11" s="42">
        <f>0</f>
        <v>0</v>
      </c>
      <c r="J11" s="42">
        <f>0</f>
        <v>0</v>
      </c>
      <c r="K11" s="42">
        <f>0</f>
        <v>0</v>
      </c>
      <c r="L11" s="42">
        <f>0</f>
        <v>0</v>
      </c>
      <c r="M11" s="42">
        <f>0</f>
        <v>0</v>
      </c>
      <c r="N11" s="43">
        <f>0</f>
        <v>0</v>
      </c>
      <c r="O11" s="43">
        <f>0</f>
        <v>0</v>
      </c>
      <c r="P11" s="43">
        <f>0</f>
        <v>0</v>
      </c>
      <c r="Q11" s="43"/>
      <c r="R11" s="7"/>
      <c r="S11" s="3"/>
      <c r="T11" s="3"/>
      <c r="U11" s="3"/>
      <c r="V11" s="3"/>
    </row>
    <row r="12" spans="1:22" ht="66.75" customHeight="1">
      <c r="A12" s="39" t="s">
        <v>310</v>
      </c>
      <c r="B12" s="40"/>
      <c r="C12" s="41" t="s">
        <v>310</v>
      </c>
      <c r="D12" s="42">
        <f>229598954.43</f>
        <v>229598954.43</v>
      </c>
      <c r="E12" s="42">
        <f>222400666.77</f>
        <v>222400666.77</v>
      </c>
      <c r="F12" s="42">
        <f>217717831.1</f>
        <v>217717831.1</v>
      </c>
      <c r="G12" s="42">
        <f>202332409.34</f>
        <v>202332409.34</v>
      </c>
      <c r="H12" s="42">
        <f>329354673.33</f>
        <v>329354673.33</v>
      </c>
      <c r="I12" s="42">
        <f>309615120.45</f>
        <v>309615120.45</v>
      </c>
      <c r="J12" s="42">
        <f>295841910.64</f>
        <v>295841910.64</v>
      </c>
      <c r="K12" s="42">
        <f>288448660.51</f>
        <v>288448660.51</v>
      </c>
      <c r="L12" s="42">
        <f>281692092.98</f>
        <v>281692092.98</v>
      </c>
      <c r="M12" s="42">
        <f>270888740.98</f>
        <v>270888740.98</v>
      </c>
      <c r="N12" s="43">
        <f>0</f>
        <v>0</v>
      </c>
      <c r="O12" s="43">
        <f>0</f>
        <v>0</v>
      </c>
      <c r="P12" s="43">
        <f>0</f>
        <v>0</v>
      </c>
      <c r="Q12" s="43"/>
      <c r="R12" s="7"/>
      <c r="S12" s="3"/>
      <c r="T12" s="3"/>
      <c r="U12" s="3"/>
      <c r="V12" s="3"/>
    </row>
    <row r="13" spans="1:22" ht="96.75" customHeight="1">
      <c r="A13" s="39" t="s">
        <v>311</v>
      </c>
      <c r="B13" s="40"/>
      <c r="C13" s="41" t="s">
        <v>311</v>
      </c>
      <c r="D13" s="42">
        <f aca="true" t="shared" si="0" ref="D13:M13">986017000</f>
        <v>986017000</v>
      </c>
      <c r="E13" s="42">
        <f t="shared" si="0"/>
        <v>986017000</v>
      </c>
      <c r="F13" s="42">
        <f t="shared" si="0"/>
        <v>986017000</v>
      </c>
      <c r="G13" s="42">
        <f t="shared" si="0"/>
        <v>986017000</v>
      </c>
      <c r="H13" s="42">
        <f t="shared" si="0"/>
        <v>986017000</v>
      </c>
      <c r="I13" s="42">
        <f t="shared" si="0"/>
        <v>986017000</v>
      </c>
      <c r="J13" s="42">
        <f t="shared" si="0"/>
        <v>986017000</v>
      </c>
      <c r="K13" s="42">
        <f t="shared" si="0"/>
        <v>986017000</v>
      </c>
      <c r="L13" s="42">
        <f t="shared" si="0"/>
        <v>986017000</v>
      </c>
      <c r="M13" s="42">
        <f t="shared" si="0"/>
        <v>986017000</v>
      </c>
      <c r="N13" s="43">
        <f>0</f>
        <v>0</v>
      </c>
      <c r="O13" s="43">
        <f>0</f>
        <v>0</v>
      </c>
      <c r="P13" s="43">
        <f>0</f>
        <v>0</v>
      </c>
      <c r="Q13" s="43"/>
      <c r="R13" s="7"/>
      <c r="S13" s="3"/>
      <c r="T13" s="3"/>
      <c r="U13" s="3"/>
      <c r="V13" s="3"/>
    </row>
    <row r="14" spans="1:22" ht="21" customHeight="1">
      <c r="A14" s="39" t="s">
        <v>217</v>
      </c>
      <c r="B14" s="40"/>
      <c r="C14" s="41" t="s">
        <v>217</v>
      </c>
      <c r="D14" s="42">
        <f>6833839754.43</f>
        <v>6833839754.43</v>
      </c>
      <c r="E14" s="42">
        <f>6826641466.77</f>
        <v>6826641466.77</v>
      </c>
      <c r="F14" s="42">
        <f>7071958631.1</f>
        <v>7071958631.1</v>
      </c>
      <c r="G14" s="42">
        <f>7508083209.34</f>
        <v>7508083209.34</v>
      </c>
      <c r="H14" s="42">
        <f>7285105473.33</f>
        <v>7285105473.33</v>
      </c>
      <c r="I14" s="42">
        <f>7265365920.45</f>
        <v>7265365920.45</v>
      </c>
      <c r="J14" s="42">
        <f>8066649410.64</f>
        <v>8066649410.64</v>
      </c>
      <c r="K14" s="42">
        <f>8059256160.51</f>
        <v>8059256160.51</v>
      </c>
      <c r="L14" s="42">
        <f>8412499592.98</f>
        <v>8412499592.98</v>
      </c>
      <c r="M14" s="42">
        <f>8936639540.98</f>
        <v>8936639540.98</v>
      </c>
      <c r="N14" s="43">
        <f>0</f>
        <v>0</v>
      </c>
      <c r="O14" s="43">
        <f>0</f>
        <v>0</v>
      </c>
      <c r="P14" s="43">
        <f>0</f>
        <v>0</v>
      </c>
      <c r="Q14" s="43"/>
      <c r="R14" s="7"/>
      <c r="S14" s="3"/>
      <c r="T14" s="3"/>
      <c r="U14" s="3"/>
      <c r="V14" s="3"/>
    </row>
    <row r="15" spans="1:145" ht="15">
      <c r="A15" s="1" t="s">
        <v>216</v>
      </c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</row>
    <row r="16" spans="1:145" ht="30" customHeight="1">
      <c r="A16" s="44" t="s">
        <v>292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</row>
    <row r="17" spans="1:145" ht="20.25">
      <c r="A17" s="44" t="s">
        <v>292</v>
      </c>
      <c r="B17" s="60" t="s">
        <v>312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</row>
  </sheetData>
  <sheetProtection/>
  <mergeCells count="19">
    <mergeCell ref="C1:Q1"/>
    <mergeCell ref="C2:Q2"/>
    <mergeCell ref="C3:C7"/>
    <mergeCell ref="D3:D7"/>
    <mergeCell ref="E3:E7"/>
    <mergeCell ref="F3:F7"/>
    <mergeCell ref="G3:G7"/>
    <mergeCell ref="H3:H7"/>
    <mergeCell ref="I3:I7"/>
    <mergeCell ref="J3:J7"/>
    <mergeCell ref="Q3:Q7"/>
    <mergeCell ref="B16:EO16"/>
    <mergeCell ref="B17:EO17"/>
    <mergeCell ref="K3:K7"/>
    <mergeCell ref="L3:L7"/>
    <mergeCell ref="M3:M7"/>
    <mergeCell ref="N3:N7"/>
    <mergeCell ref="O3:O7"/>
    <mergeCell ref="P3:P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Скопцова Ю.М.</cp:lastModifiedBy>
  <cp:lastPrinted>2013-10-05T06:56:34Z</cp:lastPrinted>
  <dcterms:created xsi:type="dcterms:W3CDTF">2013-10-05T06:54:07Z</dcterms:created>
  <dcterms:modified xsi:type="dcterms:W3CDTF">2013-10-07T04:51:41Z</dcterms:modified>
  <cp:category/>
  <cp:version/>
  <cp:contentType/>
  <cp:contentStatus/>
</cp:coreProperties>
</file>