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за 2 кв." sheetId="1" r:id="rId1"/>
  </sheets>
  <definedNames>
    <definedName name="_xlfn.BAHTTEXT" hidden="1">#NAME?</definedName>
    <definedName name="_xlnm.Print_Titles" localSheetId="0">'за 2 кв.'!$A:$A</definedName>
    <definedName name="_xlnm.Print_Area" localSheetId="0">'за 2 кв.'!$A$1:$AY$43</definedName>
  </definedNames>
  <calcPr fullCalcOnLoad="1"/>
</workbook>
</file>

<file path=xl/sharedStrings.xml><?xml version="1.0" encoding="utf-8"?>
<sst xmlns="http://schemas.openxmlformats.org/spreadsheetml/2006/main" count="179" uniqueCount="101">
  <si>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01.07.2019</t>
  </si>
  <si>
    <t>тыс.руб.</t>
  </si>
  <si>
    <t>P1</t>
  </si>
  <si>
    <t>P2</t>
  </si>
  <si>
    <t>P3</t>
  </si>
  <si>
    <t>P4</t>
  </si>
  <si>
    <t>P5.1</t>
  </si>
  <si>
    <t>P5.2</t>
  </si>
  <si>
    <t>P6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</si>
  <si>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</si>
  <si>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</si>
  <si>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</si>
  <si>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</si>
  <si>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</si>
  <si>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</si>
  <si>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</si>
  <si>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</si>
  <si>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</si>
  <si>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</si>
  <si>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</si>
  <si>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</si>
  <si>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</si>
  <si>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</si>
  <si>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</si>
  <si>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</si>
  <si>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</si>
  <si>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</si>
  <si>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</si>
  <si>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</si>
  <si>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</si>
  <si>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</si>
  <si>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</si>
  <si>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</si>
  <si>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</si>
  <si>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</si>
  <si>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</si>
  <si>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</si>
  <si>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</si>
  <si>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</si>
  <si>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</si>
  <si>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</si>
  <si>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</si>
  <si>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</si>
  <si>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</si>
  <si>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департаментом финансов Брянской области соглашений  о мерах по социально-экономическому развитию и оздоровлению муниципальных финансов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</si>
  <si>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</si>
  <si>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</si>
  <si>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</si>
  <si>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</si>
  <si>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</si>
  <si>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</si>
  <si>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</si>
  <si>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</si>
  <si>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</si>
  <si>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</si>
  <si>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</si>
  <si>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</si>
  <si>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</si>
  <si>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</si>
  <si>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</si>
  <si>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</si>
  <si>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</si>
  <si>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</si>
  <si>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</si>
  <si>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</si>
  <si>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</si>
  <si>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</si>
  <si>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да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</si>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</sst>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"/>
    <numFmt numFmtId="166" formatCode="#,##0.0_ ;[Red]\-#,##0.0\ "/>
    <numFmt numFmtId="167" formatCode="_-* #,##0_р_._-;\-* #,##0_р_._-;_-* &quot;-&quot;??_р_._-;_-@_-"/>
    <numFmt numFmtId="168" formatCode="_-* #,##0.0_р_._-;\-* #,##0.0_р_._-;_-* &quot;-&quot;??_р_._-;_-@_-"/>
    <numFmt numFmtId="169" formatCode="#,##0.0"/>
    <numFmt numFmtId="170" formatCode="#,##0_ ;[Red]\-#,##0\ "/>
    <numFmt numFmtId="171" formatCode="0.000"/>
    <numFmt numFmtId="172" formatCode="0.0000"/>
    <numFmt numFmtId="173" formatCode="0.0_ ;[Red]\-0.0\ "/>
    <numFmt numFmtId="174" formatCode="0.0%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7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15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5" borderId="19" xfId="0" applyFont="1" applyFill="1" applyBorder="1" applyAlignment="1">
      <alignment horizontal="center"/>
    </xf>
    <xf numFmtId="0" fontId="6" fillId="5" borderId="15" xfId="0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0" fillId="36" borderId="20" xfId="0" applyFill="1" applyBorder="1" applyAlignment="1">
      <alignment/>
    </xf>
    <xf numFmtId="0" fontId="2" fillId="38" borderId="2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165" fontId="6" fillId="38" borderId="26" xfId="0" applyNumberFormat="1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24" xfId="0" applyBorder="1" applyAlignment="1">
      <alignment/>
    </xf>
    <xf numFmtId="0" fontId="12" fillId="42" borderId="31" xfId="0" applyFont="1" applyFill="1" applyBorder="1" applyAlignment="1">
      <alignment horizontal="center"/>
    </xf>
    <xf numFmtId="0" fontId="12" fillId="42" borderId="25" xfId="0" applyFont="1" applyFill="1" applyBorder="1" applyAlignment="1">
      <alignment horizontal="center"/>
    </xf>
    <xf numFmtId="0" fontId="12" fillId="42" borderId="26" xfId="0" applyFont="1" applyFill="1" applyBorder="1" applyAlignment="1">
      <alignment horizontal="center"/>
    </xf>
    <xf numFmtId="0" fontId="12" fillId="42" borderId="32" xfId="0" applyFont="1" applyFill="1" applyBorder="1" applyAlignment="1">
      <alignment horizontal="center"/>
    </xf>
    <xf numFmtId="0" fontId="12" fillId="42" borderId="27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12" fillId="42" borderId="28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166" fontId="2" fillId="0" borderId="34" xfId="60" applyNumberFormat="1" applyFont="1" applyFill="1" applyBorder="1" applyAlignment="1">
      <alignment/>
    </xf>
    <xf numFmtId="164" fontId="6" fillId="0" borderId="34" xfId="60" applyNumberFormat="1" applyFont="1" applyBorder="1" applyAlignment="1">
      <alignment/>
    </xf>
    <xf numFmtId="167" fontId="2" fillId="0" borderId="35" xfId="60" applyNumberFormat="1" applyFont="1" applyBorder="1" applyAlignment="1">
      <alignment/>
    </xf>
    <xf numFmtId="167" fontId="2" fillId="0" borderId="14" xfId="60" applyNumberFormat="1" applyFont="1" applyBorder="1" applyAlignment="1">
      <alignment/>
    </xf>
    <xf numFmtId="168" fontId="6" fillId="0" borderId="36" xfId="60" applyNumberFormat="1" applyFont="1" applyBorder="1" applyAlignment="1">
      <alignment/>
    </xf>
    <xf numFmtId="166" fontId="2" fillId="33" borderId="34" xfId="60" applyNumberFormat="1" applyFont="1" applyFill="1" applyBorder="1" applyAlignment="1">
      <alignment/>
    </xf>
    <xf numFmtId="164" fontId="2" fillId="0" borderId="34" xfId="60" applyNumberFormat="1" applyFont="1" applyFill="1" applyBorder="1" applyAlignment="1">
      <alignment/>
    </xf>
    <xf numFmtId="4" fontId="2" fillId="0" borderId="35" xfId="60" applyNumberFormat="1" applyFont="1" applyFill="1" applyBorder="1" applyAlignment="1">
      <alignment/>
    </xf>
    <xf numFmtId="164" fontId="6" fillId="0" borderId="34" xfId="60" applyNumberFormat="1" applyFont="1" applyFill="1" applyBorder="1" applyAlignment="1">
      <alignment/>
    </xf>
    <xf numFmtId="166" fontId="2" fillId="0" borderId="37" xfId="60" applyNumberFormat="1" applyFont="1" applyFill="1" applyBorder="1" applyAlignment="1">
      <alignment/>
    </xf>
    <xf numFmtId="169" fontId="2" fillId="0" borderId="35" xfId="60" applyNumberFormat="1" applyFont="1" applyFill="1" applyBorder="1" applyAlignment="1">
      <alignment/>
    </xf>
    <xf numFmtId="170" fontId="2" fillId="0" borderId="14" xfId="60" applyNumberFormat="1" applyFont="1" applyFill="1" applyBorder="1" applyAlignment="1">
      <alignment/>
    </xf>
    <xf numFmtId="166" fontId="2" fillId="0" borderId="14" xfId="60" applyNumberFormat="1" applyFont="1" applyFill="1" applyBorder="1" applyAlignment="1">
      <alignment/>
    </xf>
    <xf numFmtId="166" fontId="2" fillId="0" borderId="14" xfId="60" applyNumberFormat="1" applyFont="1" applyBorder="1" applyAlignment="1">
      <alignment/>
    </xf>
    <xf numFmtId="171" fontId="6" fillId="0" borderId="14" xfId="60" applyNumberFormat="1" applyFont="1" applyBorder="1" applyAlignment="1">
      <alignment/>
    </xf>
    <xf numFmtId="168" fontId="2" fillId="0" borderId="35" xfId="60" applyNumberFormat="1" applyFont="1" applyFill="1" applyBorder="1" applyAlignment="1">
      <alignment/>
    </xf>
    <xf numFmtId="167" fontId="2" fillId="0" borderId="14" xfId="60" applyNumberFormat="1" applyFont="1" applyFill="1" applyBorder="1" applyAlignment="1">
      <alignment/>
    </xf>
    <xf numFmtId="168" fontId="6" fillId="0" borderId="36" xfId="60" applyNumberFormat="1" applyFont="1" applyFill="1" applyBorder="1" applyAlignment="1">
      <alignment/>
    </xf>
    <xf numFmtId="167" fontId="2" fillId="0" borderId="38" xfId="60" applyNumberFormat="1" applyFont="1" applyFill="1" applyBorder="1" applyAlignment="1">
      <alignment/>
    </xf>
    <xf numFmtId="172" fontId="6" fillId="0" borderId="14" xfId="60" applyNumberFormat="1" applyFont="1" applyBorder="1" applyAlignment="1">
      <alignment/>
    </xf>
    <xf numFmtId="168" fontId="2" fillId="0" borderId="35" xfId="60" applyNumberFormat="1" applyFont="1" applyBorder="1" applyAlignment="1">
      <alignment/>
    </xf>
    <xf numFmtId="173" fontId="6" fillId="0" borderId="14" xfId="60" applyNumberFormat="1" applyFont="1" applyBorder="1" applyAlignment="1">
      <alignment/>
    </xf>
    <xf numFmtId="165" fontId="2" fillId="0" borderId="19" xfId="62" applyNumberFormat="1" applyFont="1" applyFill="1" applyBorder="1" applyAlignment="1">
      <alignment horizontal="center"/>
    </xf>
    <xf numFmtId="168" fontId="2" fillId="0" borderId="35" xfId="62" applyNumberFormat="1" applyFont="1" applyFill="1" applyBorder="1" applyAlignment="1">
      <alignment horizontal="center"/>
    </xf>
    <xf numFmtId="168" fontId="2" fillId="0" borderId="35" xfId="62" applyNumberFormat="1" applyFont="1" applyFill="1" applyBorder="1" applyAlignment="1">
      <alignment/>
    </xf>
    <xf numFmtId="168" fontId="6" fillId="0" borderId="39" xfId="60" applyNumberFormat="1" applyFont="1" applyBorder="1" applyAlignment="1">
      <alignment/>
    </xf>
    <xf numFmtId="0" fontId="2" fillId="43" borderId="40" xfId="0" applyFont="1" applyFill="1" applyBorder="1" applyAlignment="1">
      <alignment/>
    </xf>
    <xf numFmtId="166" fontId="2" fillId="43" borderId="34" xfId="60" applyNumberFormat="1" applyFont="1" applyFill="1" applyBorder="1" applyAlignment="1">
      <alignment/>
    </xf>
    <xf numFmtId="164" fontId="6" fillId="43" borderId="34" xfId="60" applyNumberFormat="1" applyFont="1" applyFill="1" applyBorder="1" applyAlignment="1">
      <alignment/>
    </xf>
    <xf numFmtId="167" fontId="2" fillId="43" borderId="35" xfId="60" applyNumberFormat="1" applyFont="1" applyFill="1" applyBorder="1" applyAlignment="1">
      <alignment/>
    </xf>
    <xf numFmtId="167" fontId="2" fillId="43" borderId="14" xfId="60" applyNumberFormat="1" applyFont="1" applyFill="1" applyBorder="1" applyAlignment="1">
      <alignment/>
    </xf>
    <xf numFmtId="168" fontId="6" fillId="43" borderId="36" xfId="60" applyNumberFormat="1" applyFont="1" applyFill="1" applyBorder="1" applyAlignment="1">
      <alignment/>
    </xf>
    <xf numFmtId="164" fontId="2" fillId="43" borderId="34" xfId="60" applyNumberFormat="1" applyFont="1" applyFill="1" applyBorder="1" applyAlignment="1">
      <alignment/>
    </xf>
    <xf numFmtId="4" fontId="2" fillId="43" borderId="35" xfId="60" applyNumberFormat="1" applyFont="1" applyFill="1" applyBorder="1" applyAlignment="1">
      <alignment/>
    </xf>
    <xf numFmtId="166" fontId="2" fillId="43" borderId="38" xfId="60" applyNumberFormat="1" applyFont="1" applyFill="1" applyBorder="1" applyAlignment="1">
      <alignment/>
    </xf>
    <xf numFmtId="169" fontId="2" fillId="43" borderId="35" xfId="60" applyNumberFormat="1" applyFont="1" applyFill="1" applyBorder="1" applyAlignment="1">
      <alignment/>
    </xf>
    <xf numFmtId="166" fontId="2" fillId="43" borderId="14" xfId="60" applyNumberFormat="1" applyFont="1" applyFill="1" applyBorder="1" applyAlignment="1">
      <alignment/>
    </xf>
    <xf numFmtId="171" fontId="6" fillId="43" borderId="14" xfId="60" applyNumberFormat="1" applyFont="1" applyFill="1" applyBorder="1" applyAlignment="1">
      <alignment/>
    </xf>
    <xf numFmtId="168" fontId="2" fillId="43" borderId="35" xfId="60" applyNumberFormat="1" applyFont="1" applyFill="1" applyBorder="1" applyAlignment="1">
      <alignment/>
    </xf>
    <xf numFmtId="168" fontId="2" fillId="43" borderId="14" xfId="60" applyNumberFormat="1" applyFont="1" applyFill="1" applyBorder="1" applyAlignment="1">
      <alignment/>
    </xf>
    <xf numFmtId="167" fontId="2" fillId="43" borderId="38" xfId="60" applyNumberFormat="1" applyFont="1" applyFill="1" applyBorder="1" applyAlignment="1">
      <alignment/>
    </xf>
    <xf numFmtId="172" fontId="6" fillId="43" borderId="14" xfId="60" applyNumberFormat="1" applyFont="1" applyFill="1" applyBorder="1" applyAlignment="1">
      <alignment/>
    </xf>
    <xf numFmtId="173" fontId="6" fillId="43" borderId="14" xfId="60" applyNumberFormat="1" applyFont="1" applyFill="1" applyBorder="1" applyAlignment="1">
      <alignment/>
    </xf>
    <xf numFmtId="168" fontId="6" fillId="43" borderId="39" xfId="6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67" fontId="2" fillId="0" borderId="35" xfId="60" applyNumberFormat="1" applyFont="1" applyFill="1" applyBorder="1" applyAlignment="1">
      <alignment/>
    </xf>
    <xf numFmtId="166" fontId="2" fillId="0" borderId="38" xfId="60" applyNumberFormat="1" applyFont="1" applyFill="1" applyBorder="1" applyAlignment="1">
      <alignment/>
    </xf>
    <xf numFmtId="168" fontId="6" fillId="0" borderId="39" xfId="60" applyNumberFormat="1" applyFont="1" applyFill="1" applyBorder="1" applyAlignment="1">
      <alignment/>
    </xf>
    <xf numFmtId="172" fontId="6" fillId="0" borderId="14" xfId="60" applyNumberFormat="1" applyFont="1" applyFill="1" applyBorder="1" applyAlignment="1">
      <alignment/>
    </xf>
    <xf numFmtId="171" fontId="6" fillId="0" borderId="14" xfId="6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8" fontId="2" fillId="0" borderId="14" xfId="60" applyNumberFormat="1" applyFont="1" applyFill="1" applyBorder="1" applyAlignment="1">
      <alignment/>
    </xf>
    <xf numFmtId="173" fontId="6" fillId="0" borderId="14" xfId="60" applyNumberFormat="1" applyFont="1" applyFill="1" applyBorder="1" applyAlignment="1">
      <alignment/>
    </xf>
    <xf numFmtId="166" fontId="2" fillId="43" borderId="19" xfId="60" applyNumberFormat="1" applyFont="1" applyFill="1" applyBorder="1" applyAlignment="1">
      <alignment/>
    </xf>
    <xf numFmtId="166" fontId="2" fillId="0" borderId="34" xfId="60" applyNumberFormat="1" applyFont="1" applyBorder="1" applyAlignment="1">
      <alignment/>
    </xf>
    <xf numFmtId="164" fontId="2" fillId="0" borderId="34" xfId="60" applyNumberFormat="1" applyFont="1" applyBorder="1" applyAlignment="1">
      <alignment/>
    </xf>
    <xf numFmtId="166" fontId="2" fillId="0" borderId="38" xfId="60" applyNumberFormat="1" applyFont="1" applyBorder="1" applyAlignment="1">
      <alignment/>
    </xf>
    <xf numFmtId="171" fontId="6" fillId="33" borderId="14" xfId="60" applyNumberFormat="1" applyFont="1" applyFill="1" applyBorder="1" applyAlignment="1">
      <alignment/>
    </xf>
    <xf numFmtId="167" fontId="2" fillId="0" borderId="38" xfId="60" applyNumberFormat="1" applyFont="1" applyBorder="1" applyAlignment="1">
      <alignment/>
    </xf>
    <xf numFmtId="168" fontId="6" fillId="33" borderId="39" xfId="60" applyNumberFormat="1" applyFont="1" applyFill="1" applyBorder="1" applyAlignment="1">
      <alignment/>
    </xf>
    <xf numFmtId="166" fontId="2" fillId="0" borderId="41" xfId="60" applyNumberFormat="1" applyFont="1" applyBorder="1" applyAlignment="1">
      <alignment/>
    </xf>
    <xf numFmtId="0" fontId="6" fillId="42" borderId="42" xfId="0" applyFont="1" applyFill="1" applyBorder="1" applyAlignment="1" applyProtection="1">
      <alignment/>
      <protection/>
    </xf>
    <xf numFmtId="167" fontId="6" fillId="42" borderId="43" xfId="60" applyNumberFormat="1" applyFont="1" applyFill="1" applyBorder="1" applyAlignment="1">
      <alignment horizontal="center"/>
    </xf>
    <xf numFmtId="167" fontId="6" fillId="42" borderId="44" xfId="60" applyNumberFormat="1" applyFont="1" applyFill="1" applyBorder="1" applyAlignment="1">
      <alignment horizontal="center"/>
    </xf>
    <xf numFmtId="167" fontId="6" fillId="42" borderId="45" xfId="60" applyNumberFormat="1" applyFont="1" applyFill="1" applyBorder="1" applyAlignment="1">
      <alignment horizontal="center"/>
    </xf>
    <xf numFmtId="168" fontId="6" fillId="42" borderId="46" xfId="60" applyNumberFormat="1" applyFont="1" applyFill="1" applyBorder="1" applyAlignment="1">
      <alignment horizontal="center"/>
    </xf>
    <xf numFmtId="167" fontId="6" fillId="42" borderId="47" xfId="60" applyNumberFormat="1" applyFont="1" applyFill="1" applyBorder="1" applyAlignment="1">
      <alignment horizontal="center"/>
    </xf>
    <xf numFmtId="167" fontId="6" fillId="42" borderId="46" xfId="60" applyNumberFormat="1" applyFont="1" applyFill="1" applyBorder="1" applyAlignment="1">
      <alignment horizontal="center"/>
    </xf>
    <xf numFmtId="167" fontId="6" fillId="42" borderId="46" xfId="62" applyNumberFormat="1" applyFont="1" applyFill="1" applyBorder="1" applyAlignment="1">
      <alignment horizontal="center"/>
    </xf>
    <xf numFmtId="167" fontId="6" fillId="42" borderId="44" xfId="62" applyNumberFormat="1" applyFont="1" applyFill="1" applyBorder="1" applyAlignment="1">
      <alignment horizontal="center"/>
    </xf>
    <xf numFmtId="167" fontId="6" fillId="42" borderId="45" xfId="62" applyNumberFormat="1" applyFont="1" applyFill="1" applyBorder="1" applyAlignment="1">
      <alignment horizontal="center"/>
    </xf>
    <xf numFmtId="167" fontId="6" fillId="42" borderId="48" xfId="60" applyNumberFormat="1" applyFont="1" applyFill="1" applyBorder="1" applyAlignment="1">
      <alignment horizontal="center"/>
    </xf>
    <xf numFmtId="43" fontId="3" fillId="0" borderId="0" xfId="60" applyFont="1" applyAlignment="1">
      <alignment horizontal="center" wrapText="1"/>
    </xf>
    <xf numFmtId="43" fontId="3" fillId="0" borderId="49" xfId="60" applyFont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 horizontal="center" vertical="center"/>
    </xf>
    <xf numFmtId="0" fontId="5" fillId="44" borderId="54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tabSelected="1" zoomScale="70" zoomScaleNormal="70" zoomScaleSheetLayoutView="70" workbookViewId="0" topLeftCell="A1">
      <pane xSplit="1" ySplit="10" topLeftCell="AS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Y11" sqref="AY11:AY42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2.87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hidden="1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20.375" style="0" customWidth="1"/>
    <col min="45" max="45" width="32.00390625" style="0" customWidth="1"/>
    <col min="46" max="46" width="27.375" style="0" customWidth="1"/>
    <col min="47" max="47" width="31.625" style="0" customWidth="1"/>
    <col min="48" max="48" width="16.875" style="0" customWidth="1"/>
    <col min="49" max="49" width="24.00390625" style="0" customWidth="1"/>
    <col min="50" max="50" width="18.625" style="0" customWidth="1"/>
    <col min="51" max="51" width="22.375" style="0" customWidth="1"/>
    <col min="52" max="52" width="17.875" style="0" customWidth="1"/>
    <col min="53" max="53" width="14.875" style="0" customWidth="1"/>
    <col min="54" max="55" width="17.875" style="0" hidden="1" customWidth="1"/>
    <col min="56" max="56" width="14.875" style="0" hidden="1" customWidth="1"/>
    <col min="57" max="57" width="13.875" style="0" customWidth="1"/>
    <col min="58" max="16384" width="9.125" style="6" customWidth="1"/>
  </cols>
  <sheetData>
    <row r="1" spans="1:57" s="5" customFormat="1" ht="16.5" customHeight="1">
      <c r="A1" s="1"/>
      <c r="B1" s="129" t="s">
        <v>0</v>
      </c>
      <c r="C1" s="129"/>
      <c r="D1" s="129"/>
      <c r="E1" s="129"/>
      <c r="F1" s="129"/>
      <c r="G1" s="129"/>
      <c r="H1" s="129"/>
      <c r="I1" s="2"/>
      <c r="J1" s="2"/>
      <c r="K1" s="2"/>
      <c r="L1" s="2"/>
      <c r="M1" s="2"/>
      <c r="N1" s="1"/>
      <c r="O1" s="1"/>
      <c r="P1" s="1"/>
      <c r="Q1" s="1"/>
      <c r="R1" s="2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4"/>
      <c r="AO1" s="4"/>
      <c r="AP1" s="4"/>
      <c r="AQ1" s="3"/>
      <c r="AR1" s="1"/>
      <c r="AS1" s="3"/>
      <c r="AT1" s="3"/>
      <c r="AU1" s="4"/>
      <c r="AV1" s="4"/>
      <c r="AW1" s="3"/>
      <c r="AX1" s="1"/>
      <c r="BE1" s="1"/>
    </row>
    <row r="2" spans="2:8" ht="12.75" customHeight="1" hidden="1">
      <c r="B2" s="129"/>
      <c r="C2" s="129"/>
      <c r="D2" s="129"/>
      <c r="E2" s="129"/>
      <c r="F2" s="129"/>
      <c r="G2" s="129"/>
      <c r="H2" s="129"/>
    </row>
    <row r="3" spans="2:41" ht="13.5" thickBot="1">
      <c r="B3" s="130"/>
      <c r="C3" s="130"/>
      <c r="D3" s="130"/>
      <c r="E3" s="130"/>
      <c r="F3" s="130"/>
      <c r="G3" s="130"/>
      <c r="H3" s="130"/>
      <c r="I3" s="7"/>
      <c r="K3" s="8"/>
      <c r="L3" s="7"/>
      <c r="M3" s="7"/>
      <c r="T3" s="7"/>
      <c r="Y3" s="9"/>
      <c r="AE3" s="7"/>
      <c r="AM3" s="7"/>
      <c r="AN3" s="7"/>
      <c r="AO3" s="7"/>
    </row>
    <row r="4" spans="1:57" ht="13.5" thickTop="1">
      <c r="A4" s="131" t="s">
        <v>1</v>
      </c>
      <c r="B4" s="134"/>
      <c r="C4" s="135"/>
      <c r="D4" s="135"/>
      <c r="E4" s="135"/>
      <c r="F4" s="135"/>
      <c r="G4" s="135"/>
      <c r="H4" s="136"/>
      <c r="I4" s="137"/>
      <c r="J4" s="138"/>
      <c r="K4" s="138"/>
      <c r="L4" s="138"/>
      <c r="M4" s="138"/>
      <c r="N4" s="138"/>
      <c r="O4" s="138"/>
      <c r="P4" s="138"/>
      <c r="Q4" s="139"/>
      <c r="R4" s="137"/>
      <c r="S4" s="138"/>
      <c r="T4" s="138"/>
      <c r="U4" s="138"/>
      <c r="V4" s="138"/>
      <c r="W4" s="138"/>
      <c r="X4" s="139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40"/>
      <c r="AM4" s="137"/>
      <c r="AN4" s="138"/>
      <c r="AO4" s="138"/>
      <c r="AP4" s="138"/>
      <c r="AQ4" s="138"/>
      <c r="AR4" s="140"/>
      <c r="AS4" s="137"/>
      <c r="AT4" s="138"/>
      <c r="AU4" s="138"/>
      <c r="AV4" s="138"/>
      <c r="AW4" s="138"/>
      <c r="AX4" s="140"/>
      <c r="AY4" s="10"/>
      <c r="AZ4" s="11"/>
      <c r="BA4" s="12"/>
      <c r="BB4" s="10"/>
      <c r="BC4" s="11"/>
      <c r="BD4" s="12"/>
      <c r="BE4" s="13"/>
    </row>
    <row r="5" spans="1:57" ht="13.5" thickBot="1">
      <c r="A5" s="132"/>
      <c r="B5" s="141"/>
      <c r="C5" s="142"/>
      <c r="D5" s="142"/>
      <c r="E5" s="15" t="s">
        <v>2</v>
      </c>
      <c r="F5" s="16"/>
      <c r="G5" s="17"/>
      <c r="H5" s="18"/>
      <c r="I5" s="143"/>
      <c r="J5" s="142"/>
      <c r="K5" s="142"/>
      <c r="L5" s="14"/>
      <c r="M5" s="14"/>
      <c r="N5" s="15" t="s">
        <v>3</v>
      </c>
      <c r="O5" s="16"/>
      <c r="P5" s="17"/>
      <c r="Q5" s="18"/>
      <c r="R5" s="143"/>
      <c r="S5" s="142"/>
      <c r="T5" s="142"/>
      <c r="U5" s="15" t="s">
        <v>4</v>
      </c>
      <c r="V5" s="16"/>
      <c r="W5" s="17"/>
      <c r="X5" s="18"/>
      <c r="Y5" s="144"/>
      <c r="Z5" s="142"/>
      <c r="AA5" s="142"/>
      <c r="AB5" s="14"/>
      <c r="AC5" s="14"/>
      <c r="AD5" s="14"/>
      <c r="AE5" s="14"/>
      <c r="AF5" s="14"/>
      <c r="AG5" s="14"/>
      <c r="AH5" s="14"/>
      <c r="AI5" s="15" t="s">
        <v>5</v>
      </c>
      <c r="AJ5" s="16"/>
      <c r="AK5" s="17"/>
      <c r="AL5" s="19"/>
      <c r="AM5" s="143"/>
      <c r="AN5" s="142"/>
      <c r="AO5" s="15" t="s">
        <v>6</v>
      </c>
      <c r="AP5" s="16"/>
      <c r="AQ5" s="17"/>
      <c r="AR5" s="19"/>
      <c r="AS5" s="143"/>
      <c r="AT5" s="142"/>
      <c r="AU5" s="15" t="s">
        <v>7</v>
      </c>
      <c r="AV5" s="16"/>
      <c r="AW5" s="17"/>
      <c r="AX5" s="19"/>
      <c r="AY5" s="20" t="s">
        <v>8</v>
      </c>
      <c r="AZ5" s="21"/>
      <c r="BA5" s="22"/>
      <c r="BB5" s="20" t="s">
        <v>9</v>
      </c>
      <c r="BC5" s="21"/>
      <c r="BD5" s="22"/>
      <c r="BE5" s="23"/>
    </row>
    <row r="6" spans="1:57" ht="159.75" customHeight="1" thickBot="1">
      <c r="A6" s="132"/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14</v>
      </c>
      <c r="G6" s="25" t="s">
        <v>15</v>
      </c>
      <c r="H6" s="26" t="s">
        <v>16</v>
      </c>
      <c r="I6" s="24" t="s">
        <v>17</v>
      </c>
      <c r="J6" s="24" t="s">
        <v>18</v>
      </c>
      <c r="K6" s="24" t="s">
        <v>19</v>
      </c>
      <c r="L6" s="24" t="s">
        <v>20</v>
      </c>
      <c r="M6" s="24" t="s">
        <v>21</v>
      </c>
      <c r="N6" s="24" t="s">
        <v>22</v>
      </c>
      <c r="O6" s="25" t="s">
        <v>14</v>
      </c>
      <c r="P6" s="25" t="s">
        <v>15</v>
      </c>
      <c r="Q6" s="26" t="s">
        <v>16</v>
      </c>
      <c r="R6" s="24" t="s">
        <v>23</v>
      </c>
      <c r="S6" s="24" t="s">
        <v>24</v>
      </c>
      <c r="T6" s="24" t="s">
        <v>25</v>
      </c>
      <c r="U6" s="24" t="s">
        <v>26</v>
      </c>
      <c r="V6" s="25" t="s">
        <v>14</v>
      </c>
      <c r="W6" s="25" t="s">
        <v>15</v>
      </c>
      <c r="X6" s="26" t="s">
        <v>16</v>
      </c>
      <c r="Y6" s="24" t="s">
        <v>27</v>
      </c>
      <c r="Z6" s="24" t="s">
        <v>28</v>
      </c>
      <c r="AA6" s="24" t="s">
        <v>29</v>
      </c>
      <c r="AB6" s="24" t="s">
        <v>30</v>
      </c>
      <c r="AC6" s="24" t="s">
        <v>31</v>
      </c>
      <c r="AD6" s="24" t="s">
        <v>32</v>
      </c>
      <c r="AE6" s="24" t="s">
        <v>33</v>
      </c>
      <c r="AF6" s="27" t="s">
        <v>34</v>
      </c>
      <c r="AG6" s="27" t="s">
        <v>35</v>
      </c>
      <c r="AH6" s="27" t="s">
        <v>36</v>
      </c>
      <c r="AI6" s="24" t="s">
        <v>37</v>
      </c>
      <c r="AJ6" s="25" t="s">
        <v>14</v>
      </c>
      <c r="AK6" s="25" t="s">
        <v>15</v>
      </c>
      <c r="AL6" s="25" t="s">
        <v>16</v>
      </c>
      <c r="AM6" s="28" t="s">
        <v>38</v>
      </c>
      <c r="AN6" s="24" t="s">
        <v>39</v>
      </c>
      <c r="AO6" s="24" t="s">
        <v>40</v>
      </c>
      <c r="AP6" s="25" t="s">
        <v>14</v>
      </c>
      <c r="AQ6" s="25" t="s">
        <v>15</v>
      </c>
      <c r="AR6" s="25" t="s">
        <v>16</v>
      </c>
      <c r="AS6" s="29" t="s">
        <v>41</v>
      </c>
      <c r="AT6" s="30" t="s">
        <v>42</v>
      </c>
      <c r="AU6" s="30" t="s">
        <v>43</v>
      </c>
      <c r="AV6" s="25" t="s">
        <v>14</v>
      </c>
      <c r="AW6" s="25" t="s">
        <v>15</v>
      </c>
      <c r="AX6" s="25" t="s">
        <v>16</v>
      </c>
      <c r="AY6" s="28" t="s">
        <v>44</v>
      </c>
      <c r="AZ6" s="25" t="s">
        <v>14</v>
      </c>
      <c r="BA6" s="26" t="s">
        <v>16</v>
      </c>
      <c r="BB6" s="28" t="s">
        <v>45</v>
      </c>
      <c r="BC6" s="25" t="s">
        <v>14</v>
      </c>
      <c r="BD6" s="26" t="s">
        <v>16</v>
      </c>
      <c r="BE6" s="31" t="s">
        <v>46</v>
      </c>
    </row>
    <row r="7" spans="1:57" ht="52.5" thickBot="1" thickTop="1">
      <c r="A7" s="133"/>
      <c r="B7" s="32" t="s">
        <v>47</v>
      </c>
      <c r="C7" s="32" t="s">
        <v>48</v>
      </c>
      <c r="D7" s="32" t="s">
        <v>49</v>
      </c>
      <c r="E7" s="32" t="s">
        <v>50</v>
      </c>
      <c r="F7" s="32" t="s">
        <v>51</v>
      </c>
      <c r="G7" s="32" t="s">
        <v>51</v>
      </c>
      <c r="H7" s="33">
        <v>1</v>
      </c>
      <c r="I7" s="32" t="s">
        <v>47</v>
      </c>
      <c r="J7" s="32" t="s">
        <v>48</v>
      </c>
      <c r="K7" s="32" t="s">
        <v>49</v>
      </c>
      <c r="L7" s="32" t="s">
        <v>52</v>
      </c>
      <c r="M7" s="32"/>
      <c r="N7" s="32" t="s">
        <v>53</v>
      </c>
      <c r="O7" s="34" t="s">
        <v>51</v>
      </c>
      <c r="P7" s="35" t="s">
        <v>54</v>
      </c>
      <c r="Q7" s="33">
        <v>1</v>
      </c>
      <c r="R7" s="32" t="s">
        <v>47</v>
      </c>
      <c r="S7" s="32" t="s">
        <v>48</v>
      </c>
      <c r="T7" s="32" t="s">
        <v>49</v>
      </c>
      <c r="U7" s="32" t="s">
        <v>55</v>
      </c>
      <c r="V7" s="32" t="s">
        <v>56</v>
      </c>
      <c r="W7" s="32" t="s">
        <v>56</v>
      </c>
      <c r="X7" s="33">
        <v>1</v>
      </c>
      <c r="Y7" s="32" t="s">
        <v>47</v>
      </c>
      <c r="Z7" s="32" t="s">
        <v>48</v>
      </c>
      <c r="AA7" s="32" t="s">
        <v>49</v>
      </c>
      <c r="AB7" s="32" t="s">
        <v>57</v>
      </c>
      <c r="AC7" s="32" t="s">
        <v>52</v>
      </c>
      <c r="AD7" s="32" t="s">
        <v>58</v>
      </c>
      <c r="AE7" s="32" t="s">
        <v>59</v>
      </c>
      <c r="AF7" s="36"/>
      <c r="AG7" s="36"/>
      <c r="AH7" s="36"/>
      <c r="AI7" s="32" t="s">
        <v>60</v>
      </c>
      <c r="AJ7" s="32" t="s">
        <v>61</v>
      </c>
      <c r="AK7" s="32" t="s">
        <v>62</v>
      </c>
      <c r="AL7" s="32">
        <v>1.5</v>
      </c>
      <c r="AM7" s="32" t="s">
        <v>47</v>
      </c>
      <c r="AN7" s="32" t="s">
        <v>48</v>
      </c>
      <c r="AO7" s="32" t="s">
        <v>63</v>
      </c>
      <c r="AP7" s="32" t="s">
        <v>51</v>
      </c>
      <c r="AQ7" s="32" t="s">
        <v>51</v>
      </c>
      <c r="AR7" s="32">
        <v>1</v>
      </c>
      <c r="AS7" s="32" t="s">
        <v>47</v>
      </c>
      <c r="AT7" s="32" t="s">
        <v>48</v>
      </c>
      <c r="AU7" s="32" t="s">
        <v>63</v>
      </c>
      <c r="AV7" s="32" t="s">
        <v>51</v>
      </c>
      <c r="AW7" s="32" t="s">
        <v>51</v>
      </c>
      <c r="AX7" s="32">
        <v>1</v>
      </c>
      <c r="AY7" s="37" t="s">
        <v>47</v>
      </c>
      <c r="AZ7" s="32">
        <v>2</v>
      </c>
      <c r="BA7" s="38">
        <v>2</v>
      </c>
      <c r="BB7" s="37" t="s">
        <v>47</v>
      </c>
      <c r="BC7" s="32">
        <v>1</v>
      </c>
      <c r="BD7" s="38">
        <v>1</v>
      </c>
      <c r="BE7" s="39"/>
    </row>
    <row r="8" spans="1:57" ht="15" thickBot="1" thickTop="1">
      <c r="A8" s="40"/>
      <c r="B8" s="41" t="s">
        <v>64</v>
      </c>
      <c r="C8" s="41" t="s">
        <v>64</v>
      </c>
      <c r="D8" s="41" t="s">
        <v>64</v>
      </c>
      <c r="E8" s="41"/>
      <c r="F8" s="41"/>
      <c r="G8" s="41"/>
      <c r="H8" s="42"/>
      <c r="I8" s="43"/>
      <c r="J8" s="41"/>
      <c r="K8" s="41"/>
      <c r="L8" s="44"/>
      <c r="M8" s="44"/>
      <c r="N8" s="41"/>
      <c r="O8" s="41"/>
      <c r="P8" s="41"/>
      <c r="Q8" s="42"/>
      <c r="R8" s="43"/>
      <c r="S8" s="41"/>
      <c r="T8" s="41"/>
      <c r="U8" s="41"/>
      <c r="V8" s="41"/>
      <c r="W8" s="41"/>
      <c r="X8" s="42"/>
      <c r="Y8" s="45" t="s">
        <v>64</v>
      </c>
      <c r="Z8" s="41"/>
      <c r="AA8" s="41"/>
      <c r="AB8" s="44"/>
      <c r="AC8" s="45"/>
      <c r="AD8" s="41"/>
      <c r="AE8" s="41"/>
      <c r="AF8" s="41"/>
      <c r="AG8" s="41"/>
      <c r="AH8" s="41"/>
      <c r="AI8" s="41"/>
      <c r="AJ8" s="41"/>
      <c r="AK8" s="41"/>
      <c r="AL8" s="41"/>
      <c r="AM8" s="46"/>
      <c r="AN8" s="41"/>
      <c r="AO8" s="41"/>
      <c r="AP8" s="41"/>
      <c r="AQ8" s="41"/>
      <c r="AR8" s="41"/>
      <c r="AS8" s="46"/>
      <c r="AT8" s="41"/>
      <c r="AU8" s="41"/>
      <c r="AV8" s="41"/>
      <c r="AW8" s="41"/>
      <c r="AX8" s="41"/>
      <c r="AY8" s="47"/>
      <c r="AZ8" s="41"/>
      <c r="BA8" s="42"/>
      <c r="BB8" s="47"/>
      <c r="BC8" s="41"/>
      <c r="BD8" s="42"/>
      <c r="BE8" s="48"/>
    </row>
    <row r="9" spans="1:57" ht="14.25" thickBot="1" thickTop="1">
      <c r="A9" s="49"/>
      <c r="B9" s="50"/>
      <c r="C9" s="50"/>
      <c r="D9" s="50"/>
      <c r="E9" s="50"/>
      <c r="F9" s="50"/>
      <c r="G9" s="50"/>
      <c r="H9" s="51"/>
      <c r="I9" s="52"/>
      <c r="J9" s="50"/>
      <c r="K9" s="50"/>
      <c r="L9" s="50"/>
      <c r="M9" s="50"/>
      <c r="N9" s="50"/>
      <c r="O9" s="50"/>
      <c r="P9" s="50"/>
      <c r="Q9" s="51"/>
      <c r="R9" s="52"/>
      <c r="S9" s="50"/>
      <c r="T9" s="50"/>
      <c r="U9" s="50"/>
      <c r="V9" s="50"/>
      <c r="W9" s="50"/>
      <c r="X9" s="51"/>
      <c r="Y9" s="53"/>
      <c r="Z9" s="50"/>
      <c r="AA9" s="50"/>
      <c r="AB9" s="50"/>
      <c r="AC9" s="50"/>
      <c r="AD9" s="50"/>
      <c r="AE9" s="50"/>
      <c r="AF9" s="50"/>
      <c r="AG9" s="50"/>
      <c r="AH9" s="50"/>
      <c r="AI9" s="54" t="s">
        <v>65</v>
      </c>
      <c r="AJ9" s="50"/>
      <c r="AK9" s="50"/>
      <c r="AL9" s="50"/>
      <c r="AM9" s="52"/>
      <c r="AN9" s="50"/>
      <c r="AO9" s="50"/>
      <c r="AP9" s="50"/>
      <c r="AQ9" s="50"/>
      <c r="AR9" s="50"/>
      <c r="AS9" s="52"/>
      <c r="AT9" s="50"/>
      <c r="AU9" s="50"/>
      <c r="AV9" s="50"/>
      <c r="AW9" s="50"/>
      <c r="AX9" s="50"/>
      <c r="AY9" s="52"/>
      <c r="AZ9" s="50"/>
      <c r="BA9" s="51"/>
      <c r="BB9" s="52"/>
      <c r="BC9" s="50"/>
      <c r="BD9" s="51"/>
      <c r="BE9" s="55"/>
    </row>
    <row r="10" spans="1:57" ht="13.5" thickTop="1">
      <c r="A10" s="56" t="s">
        <v>66</v>
      </c>
      <c r="B10" s="57">
        <v>2414602.51949</v>
      </c>
      <c r="C10" s="57">
        <v>326525.88713</v>
      </c>
      <c r="D10" s="57">
        <v>2211108.5</v>
      </c>
      <c r="E10" s="58">
        <f>IF(AND(B10=0,D10=0),0,B10/(IF(C10&gt;0,C10,0)+D10))</f>
        <v>0.9515171025960338</v>
      </c>
      <c r="F10" s="59">
        <f>IF(E10&lt;=1.05,1,0)</f>
        <v>1</v>
      </c>
      <c r="G10" s="60"/>
      <c r="H10" s="61">
        <f aca="true" t="shared" si="0" ref="H10:H40">F10+G10</f>
        <v>1</v>
      </c>
      <c r="I10" s="62">
        <v>2416234.8</v>
      </c>
      <c r="J10" s="63">
        <v>10880097.9029</v>
      </c>
      <c r="K10" s="64">
        <v>7832725.254989999</v>
      </c>
      <c r="L10" s="62">
        <v>140997.03132530118</v>
      </c>
      <c r="M10" s="62">
        <v>0</v>
      </c>
      <c r="N10" s="65">
        <f>(I10-M10)/(J10-K10-L10)</f>
        <v>0.8313566856989164</v>
      </c>
      <c r="O10" s="59">
        <f aca="true" t="shared" si="1" ref="O10:O16">IF(N10&lt;=1,1,0)</f>
        <v>1</v>
      </c>
      <c r="P10" s="60"/>
      <c r="Q10" s="61">
        <f aca="true" t="shared" si="2" ref="Q10:Q40">O10+P10</f>
        <v>1</v>
      </c>
      <c r="R10" s="66">
        <v>178187.4</v>
      </c>
      <c r="S10" s="57">
        <v>11206623.79003</v>
      </c>
      <c r="T10" s="67">
        <v>3055547.69343</v>
      </c>
      <c r="U10" s="58">
        <f aca="true" t="shared" si="3" ref="U10:U40">R10/(S10-T10)</f>
        <v>0.021860598268040463</v>
      </c>
      <c r="V10" s="59">
        <f aca="true" t="shared" si="4" ref="V10:V16">IF(U10&lt;=0.15,1,0)</f>
        <v>1</v>
      </c>
      <c r="W10" s="60"/>
      <c r="X10" s="61">
        <f>V10+W10</f>
        <v>1</v>
      </c>
      <c r="Y10" s="57">
        <f>C10</f>
        <v>326525.88713</v>
      </c>
      <c r="Z10" s="68"/>
      <c r="AA10" s="69">
        <v>123031.86764</v>
      </c>
      <c r="AB10" s="70"/>
      <c r="AC10" s="70">
        <f aca="true" t="shared" si="5" ref="AC10:AE42">J10</f>
        <v>10880097.9029</v>
      </c>
      <c r="AD10" s="70">
        <f t="shared" si="5"/>
        <v>7832725.254989999</v>
      </c>
      <c r="AE10" s="70">
        <f t="shared" si="5"/>
        <v>140997.03132530118</v>
      </c>
      <c r="AF10" s="70">
        <f>AC10-AD10-AE10</f>
        <v>2906375.6165846987</v>
      </c>
      <c r="AG10" s="70">
        <f aca="true" t="shared" si="6" ref="AG10:AG17">AF10*10%</f>
        <v>290637.5616584699</v>
      </c>
      <c r="AH10" s="70">
        <f aca="true" t="shared" si="7" ref="AH10:AH15">IF(AA10&gt;0,AA10,0)+AG10+IF(AB10&gt;0,AB10,0)</f>
        <v>413669.4292984699</v>
      </c>
      <c r="AI10" s="71">
        <f aca="true" t="shared" si="8" ref="AI10:AI40">IF((Y10-IF(Z10&gt;0,Z10,0)-IF(AA10&gt;0,AA10,0)-IF(AB10&gt;0,AB10,0))/(AC10-AD10-AE10)&gt;0,(Y10-IF(Z10&gt;0,Z10,0)-IF(AA10&gt;0,AA10,0)-IF(AB10&gt;0,AB10,0))/(AC10-AD10-AE10),0)</f>
        <v>0.07001642125291677</v>
      </c>
      <c r="AJ10" s="72">
        <f>IF(AI10&lt;=0.1,1.5,0)</f>
        <v>1.5</v>
      </c>
      <c r="AK10" s="73"/>
      <c r="AL10" s="74">
        <f aca="true" t="shared" si="9" ref="AL10:AL40">AJ10+AK10</f>
        <v>1.5</v>
      </c>
      <c r="AM10" s="75">
        <v>228230.1491</v>
      </c>
      <c r="AN10" s="73">
        <v>285379.046</v>
      </c>
      <c r="AO10" s="76">
        <f aca="true" t="shared" si="10" ref="AO10:AO40">AM10/AN10</f>
        <v>0.7997438925491398</v>
      </c>
      <c r="AP10" s="77">
        <f>IF(AO10&lt;=1,1,0)</f>
        <v>1</v>
      </c>
      <c r="AQ10" s="60"/>
      <c r="AR10" s="78">
        <f>AP10+AQ10</f>
        <v>1</v>
      </c>
      <c r="AS10" s="75">
        <v>429444.11202</v>
      </c>
      <c r="AT10" s="73">
        <v>515694.616</v>
      </c>
      <c r="AU10" s="71">
        <f>AS10/AT10</f>
        <v>0.8327488763621298</v>
      </c>
      <c r="AV10" s="77">
        <f>IF(AU10&lt;=1,1,0)</f>
        <v>1</v>
      </c>
      <c r="AW10" s="60"/>
      <c r="AX10" s="78">
        <f aca="true" t="shared" si="11" ref="AX10:AX40">AV10+AW10</f>
        <v>1</v>
      </c>
      <c r="AY10" s="79" t="s">
        <v>67</v>
      </c>
      <c r="AZ10" s="80">
        <f>IF(AY10="да",2,0)</f>
        <v>2</v>
      </c>
      <c r="BA10" s="81">
        <f>AZ10</f>
        <v>2</v>
      </c>
      <c r="BB10" s="79"/>
      <c r="BC10" s="80"/>
      <c r="BD10" s="81">
        <f>BC10</f>
        <v>0</v>
      </c>
      <c r="BE10" s="82">
        <f>H10+Q10+X10+AL10+AR10+AX10+BA10+BD10</f>
        <v>8.5</v>
      </c>
    </row>
    <row r="11" spans="1:57" ht="12.75">
      <c r="A11" s="83" t="s">
        <v>68</v>
      </c>
      <c r="B11" s="84">
        <v>25000</v>
      </c>
      <c r="C11" s="84">
        <v>3829.01653</v>
      </c>
      <c r="D11" s="84">
        <v>26000</v>
      </c>
      <c r="E11" s="85">
        <f>IF(AND(B11=0,D11=0),0,B11/(IF(C11&gt;0,C11,0)+D11))</f>
        <v>0.838110099099536</v>
      </c>
      <c r="F11" s="86"/>
      <c r="G11" s="87">
        <f>IF(E11&lt;=1.05,1,0)</f>
        <v>1</v>
      </c>
      <c r="H11" s="88">
        <f>F11+G11</f>
        <v>1</v>
      </c>
      <c r="I11" s="84">
        <v>25000</v>
      </c>
      <c r="J11" s="89">
        <v>843630.4875800001</v>
      </c>
      <c r="K11" s="90">
        <v>597829.19146</v>
      </c>
      <c r="L11" s="84">
        <v>182089.29142857142</v>
      </c>
      <c r="M11" s="84">
        <v>0</v>
      </c>
      <c r="N11" s="85">
        <f>(I11-M11)/(J11-K11-L11)</f>
        <v>0.392390729519194</v>
      </c>
      <c r="O11" s="86"/>
      <c r="P11" s="87">
        <f>IF(N11&lt;=0.5,1,0)</f>
        <v>1</v>
      </c>
      <c r="Q11" s="88">
        <f>O11+P11</f>
        <v>1</v>
      </c>
      <c r="R11" s="91">
        <v>2484.1</v>
      </c>
      <c r="S11" s="84">
        <v>847459.50411</v>
      </c>
      <c r="T11" s="92">
        <v>419652.65381</v>
      </c>
      <c r="U11" s="85">
        <f>R11/(S11-T11)</f>
        <v>0.0058065923868634226</v>
      </c>
      <c r="V11" s="86"/>
      <c r="W11" s="87">
        <f>IF(U11&lt;=0.15,1,0)</f>
        <v>1</v>
      </c>
      <c r="X11" s="88">
        <f>V11+W11</f>
        <v>1</v>
      </c>
      <c r="Y11" s="84">
        <f>C11</f>
        <v>3829.01653</v>
      </c>
      <c r="Z11" s="93"/>
      <c r="AA11" s="93">
        <v>4829.01653</v>
      </c>
      <c r="AB11" s="93"/>
      <c r="AC11" s="93">
        <f>J11</f>
        <v>843630.4875800001</v>
      </c>
      <c r="AD11" s="93">
        <f>K11</f>
        <v>597829.19146</v>
      </c>
      <c r="AE11" s="93">
        <f>L11</f>
        <v>182089.29142857142</v>
      </c>
      <c r="AF11" s="93">
        <f>AC11-AD11-AE11</f>
        <v>63712.00469142865</v>
      </c>
      <c r="AG11" s="93">
        <f>AF11*10%</f>
        <v>6371.200469142866</v>
      </c>
      <c r="AH11" s="93">
        <f>IF(AA11&gt;0,AA11,0)+AG11+IF(AB11&gt;0,AB11,0)</f>
        <v>11200.216999142865</v>
      </c>
      <c r="AI11" s="94">
        <f>IF((Y11-IF(Z11&gt;0,Z11,0)-IF(AA11&gt;0,AA11,0)-IF(AB11&gt;0,AB11,0))/(AC11-AD11-AE11)&gt;0,(Y11-IF(Z11&gt;0,Z11,0)-IF(AA11&gt;0,AA11,0)-IF(AB11&gt;0,AB11,0))/(AC11-AD11-AE11),0)</f>
        <v>0</v>
      </c>
      <c r="AJ11" s="95"/>
      <c r="AK11" s="96">
        <f>IF(AI11&lt;=0.05,1.5,0)</f>
        <v>1.5</v>
      </c>
      <c r="AL11" s="88">
        <f>AJ11+AK11</f>
        <v>1.5</v>
      </c>
      <c r="AM11" s="97">
        <v>29904.753</v>
      </c>
      <c r="AN11" s="87">
        <v>33145.975</v>
      </c>
      <c r="AO11" s="98">
        <f>AM11/AN11</f>
        <v>0.9022137076975411</v>
      </c>
      <c r="AP11" s="95"/>
      <c r="AQ11" s="96">
        <f>IF(AO11&lt;=1,1,0)</f>
        <v>1</v>
      </c>
      <c r="AR11" s="99">
        <f>AP11+AQ11</f>
        <v>1</v>
      </c>
      <c r="AS11" s="97">
        <v>70104.091</v>
      </c>
      <c r="AT11" s="87">
        <v>82494.294</v>
      </c>
      <c r="AU11" s="94">
        <f>AS11/AT11</f>
        <v>0.8498053332028032</v>
      </c>
      <c r="AV11" s="95"/>
      <c r="AW11" s="96">
        <f>IF(AU11&lt;=1,1,0)</f>
        <v>1</v>
      </c>
      <c r="AX11" s="99">
        <f>AV11+AW11</f>
        <v>1</v>
      </c>
      <c r="AY11" s="79" t="s">
        <v>67</v>
      </c>
      <c r="AZ11" s="80">
        <f aca="true" t="shared" si="12" ref="AZ11:AZ42">IF(AY11="да",2,0)</f>
        <v>2</v>
      </c>
      <c r="BA11" s="81">
        <f aca="true" t="shared" si="13" ref="BA11:BA42">AZ11</f>
        <v>2</v>
      </c>
      <c r="BB11" s="79"/>
      <c r="BC11" s="80"/>
      <c r="BD11" s="81">
        <f aca="true" t="shared" si="14" ref="BD11:BD42">BC11</f>
        <v>0</v>
      </c>
      <c r="BE11" s="100">
        <f aca="true" t="shared" si="15" ref="BE11:BE42">H11+Q11+X11+AL11+AR11+AX11+BA11+BD11</f>
        <v>8.5</v>
      </c>
    </row>
    <row r="12" spans="1:57" ht="12.75">
      <c r="A12" s="101" t="s">
        <v>69</v>
      </c>
      <c r="B12" s="57">
        <v>70000</v>
      </c>
      <c r="C12" s="57">
        <v>30342.821620000002</v>
      </c>
      <c r="D12" s="57">
        <v>70000</v>
      </c>
      <c r="E12" s="58">
        <f aca="true" t="shared" si="16" ref="E12:E40">IF(AND(B12=0,D12=0),0,B12/(IF(C12&gt;0,C12,0)+D12))</f>
        <v>0.6976084474193003</v>
      </c>
      <c r="F12" s="102">
        <f aca="true" t="shared" si="17" ref="F12:F17">IF(E12&lt;=1.05,1,0)</f>
        <v>1</v>
      </c>
      <c r="G12" s="60"/>
      <c r="H12" s="61">
        <f t="shared" si="0"/>
        <v>1</v>
      </c>
      <c r="I12" s="62">
        <v>70000</v>
      </c>
      <c r="J12" s="63">
        <v>1155747.0625699998</v>
      </c>
      <c r="K12" s="64">
        <v>710617.8835700001</v>
      </c>
      <c r="L12" s="62">
        <v>182836.68400000004</v>
      </c>
      <c r="M12" s="62">
        <v>0</v>
      </c>
      <c r="N12" s="58">
        <f aca="true" t="shared" si="18" ref="N12:N40">(I12-M12)/(J12-K12-L12)</f>
        <v>0.2668776321640467</v>
      </c>
      <c r="O12" s="59">
        <f t="shared" si="1"/>
        <v>1</v>
      </c>
      <c r="P12" s="60"/>
      <c r="Q12" s="61">
        <f t="shared" si="2"/>
        <v>1</v>
      </c>
      <c r="R12" s="103">
        <v>6639.9</v>
      </c>
      <c r="S12" s="57">
        <v>1186089.8841900001</v>
      </c>
      <c r="T12" s="67">
        <v>487321.67729</v>
      </c>
      <c r="U12" s="58">
        <f t="shared" si="3"/>
        <v>0.009502292655038078</v>
      </c>
      <c r="V12" s="59">
        <f t="shared" si="4"/>
        <v>1</v>
      </c>
      <c r="W12" s="60"/>
      <c r="X12" s="61">
        <f aca="true" t="shared" si="19" ref="X12:X40">V12+W12</f>
        <v>1</v>
      </c>
      <c r="Y12" s="57">
        <f aca="true" t="shared" si="20" ref="Y12:Y40">C12</f>
        <v>30342.821620000002</v>
      </c>
      <c r="Z12" s="69"/>
      <c r="AA12" s="69">
        <v>30342.821620000002</v>
      </c>
      <c r="AB12" s="70"/>
      <c r="AC12" s="70">
        <f t="shared" si="5"/>
        <v>1155747.0625699998</v>
      </c>
      <c r="AD12" s="70">
        <f t="shared" si="5"/>
        <v>710617.8835700001</v>
      </c>
      <c r="AE12" s="70">
        <f t="shared" si="5"/>
        <v>182836.68400000004</v>
      </c>
      <c r="AF12" s="70">
        <f aca="true" t="shared" si="21" ref="AF12:AF40">AC12-AD12-AE12</f>
        <v>262292.49499999976</v>
      </c>
      <c r="AG12" s="70">
        <f t="shared" si="6"/>
        <v>26229.249499999976</v>
      </c>
      <c r="AH12" s="70">
        <f t="shared" si="7"/>
        <v>56572.07111999998</v>
      </c>
      <c r="AI12" s="71">
        <f t="shared" si="8"/>
        <v>0</v>
      </c>
      <c r="AJ12" s="72">
        <f aca="true" t="shared" si="22" ref="AJ12:AJ17">IF(AI12&lt;=0.1,1.5,0)</f>
        <v>1.5</v>
      </c>
      <c r="AK12" s="60"/>
      <c r="AL12" s="61">
        <f t="shared" si="9"/>
        <v>1.5</v>
      </c>
      <c r="AM12" s="75">
        <v>31188.21257</v>
      </c>
      <c r="AN12" s="73">
        <v>36803.752</v>
      </c>
      <c r="AO12" s="76">
        <f t="shared" si="10"/>
        <v>0.8474193764266208</v>
      </c>
      <c r="AP12" s="77">
        <f aca="true" t="shared" si="23" ref="AP12:AP17">IF(AO12&lt;=1,1,0)</f>
        <v>1</v>
      </c>
      <c r="AQ12" s="60"/>
      <c r="AR12" s="78">
        <f aca="true" t="shared" si="24" ref="AR12:AR38">AP12+AQ12</f>
        <v>1</v>
      </c>
      <c r="AS12" s="75">
        <v>59220.13119</v>
      </c>
      <c r="AT12" s="73">
        <v>82775.695</v>
      </c>
      <c r="AU12" s="71">
        <f aca="true" t="shared" si="25" ref="AU12:AU40">AS12/AT12</f>
        <v>0.7154289817802194</v>
      </c>
      <c r="AV12" s="77">
        <f aca="true" t="shared" si="26" ref="AV12:AV17">IF(AU12&lt;=1,1,0)</f>
        <v>1</v>
      </c>
      <c r="AW12" s="60"/>
      <c r="AX12" s="78">
        <f t="shared" si="11"/>
        <v>1</v>
      </c>
      <c r="AY12" s="79" t="s">
        <v>67</v>
      </c>
      <c r="AZ12" s="80">
        <f t="shared" si="12"/>
        <v>2</v>
      </c>
      <c r="BA12" s="81">
        <f t="shared" si="13"/>
        <v>2</v>
      </c>
      <c r="BB12" s="79"/>
      <c r="BC12" s="80"/>
      <c r="BD12" s="81">
        <f t="shared" si="14"/>
        <v>0</v>
      </c>
      <c r="BE12" s="104">
        <f t="shared" si="15"/>
        <v>8.5</v>
      </c>
    </row>
    <row r="13" spans="1:57" ht="12.75">
      <c r="A13" s="101" t="s">
        <v>70</v>
      </c>
      <c r="B13" s="57">
        <v>32000</v>
      </c>
      <c r="C13" s="57">
        <v>9555.49343</v>
      </c>
      <c r="D13" s="57">
        <v>32000</v>
      </c>
      <c r="E13" s="58">
        <f t="shared" si="16"/>
        <v>0.7700546271674964</v>
      </c>
      <c r="F13" s="59">
        <f t="shared" si="17"/>
        <v>1</v>
      </c>
      <c r="G13" s="60"/>
      <c r="H13" s="61">
        <f t="shared" si="0"/>
        <v>1</v>
      </c>
      <c r="I13" s="62">
        <v>32000</v>
      </c>
      <c r="J13" s="63">
        <v>704531.22176</v>
      </c>
      <c r="K13" s="64">
        <v>453168.22176</v>
      </c>
      <c r="L13" s="62">
        <v>82489.39285714287</v>
      </c>
      <c r="M13" s="62">
        <v>0</v>
      </c>
      <c r="N13" s="58">
        <f t="shared" si="18"/>
        <v>0.1894908301030716</v>
      </c>
      <c r="O13" s="59">
        <f t="shared" si="1"/>
        <v>1</v>
      </c>
      <c r="P13" s="60"/>
      <c r="Q13" s="61">
        <f t="shared" si="2"/>
        <v>1</v>
      </c>
      <c r="R13" s="103">
        <v>3098</v>
      </c>
      <c r="S13" s="57">
        <v>714086.71519</v>
      </c>
      <c r="T13" s="67">
        <v>262961.47698000004</v>
      </c>
      <c r="U13" s="58">
        <f t="shared" si="3"/>
        <v>0.006867272627646412</v>
      </c>
      <c r="V13" s="59">
        <f t="shared" si="4"/>
        <v>1</v>
      </c>
      <c r="W13" s="60"/>
      <c r="X13" s="61">
        <f t="shared" si="19"/>
        <v>1</v>
      </c>
      <c r="Y13" s="57">
        <f t="shared" si="20"/>
        <v>9555.49343</v>
      </c>
      <c r="Z13" s="69"/>
      <c r="AA13" s="69">
        <v>9555.49343</v>
      </c>
      <c r="AB13" s="70"/>
      <c r="AC13" s="70">
        <f t="shared" si="5"/>
        <v>704531.22176</v>
      </c>
      <c r="AD13" s="70">
        <f t="shared" si="5"/>
        <v>453168.22176</v>
      </c>
      <c r="AE13" s="70">
        <f t="shared" si="5"/>
        <v>82489.39285714287</v>
      </c>
      <c r="AF13" s="70">
        <f t="shared" si="21"/>
        <v>168873.60714285713</v>
      </c>
      <c r="AG13" s="70">
        <f t="shared" si="6"/>
        <v>16887.360714285714</v>
      </c>
      <c r="AH13" s="70">
        <f t="shared" si="7"/>
        <v>26442.854144285717</v>
      </c>
      <c r="AI13" s="71">
        <f t="shared" si="8"/>
        <v>0</v>
      </c>
      <c r="AJ13" s="72">
        <f t="shared" si="22"/>
        <v>1.5</v>
      </c>
      <c r="AK13" s="60"/>
      <c r="AL13" s="61">
        <f t="shared" si="9"/>
        <v>1.5</v>
      </c>
      <c r="AM13" s="75">
        <v>17917.14725</v>
      </c>
      <c r="AN13" s="73">
        <v>20101.229</v>
      </c>
      <c r="AO13" s="105">
        <f t="shared" si="10"/>
        <v>0.8913458599969187</v>
      </c>
      <c r="AP13" s="77">
        <f t="shared" si="23"/>
        <v>1</v>
      </c>
      <c r="AQ13" s="60"/>
      <c r="AR13" s="78">
        <f t="shared" si="24"/>
        <v>1</v>
      </c>
      <c r="AS13" s="75">
        <v>34966.763</v>
      </c>
      <c r="AT13" s="73">
        <v>46304.102</v>
      </c>
      <c r="AU13" s="106">
        <f t="shared" si="25"/>
        <v>0.7551547592910883</v>
      </c>
      <c r="AV13" s="77">
        <f t="shared" si="26"/>
        <v>1</v>
      </c>
      <c r="AW13" s="60"/>
      <c r="AX13" s="78">
        <f t="shared" si="11"/>
        <v>1</v>
      </c>
      <c r="AY13" s="79" t="s">
        <v>67</v>
      </c>
      <c r="AZ13" s="80">
        <f t="shared" si="12"/>
        <v>2</v>
      </c>
      <c r="BA13" s="81">
        <f t="shared" si="13"/>
        <v>2</v>
      </c>
      <c r="BB13" s="79"/>
      <c r="BC13" s="80"/>
      <c r="BD13" s="81">
        <f t="shared" si="14"/>
        <v>0</v>
      </c>
      <c r="BE13" s="104">
        <f t="shared" si="15"/>
        <v>8.5</v>
      </c>
    </row>
    <row r="14" spans="1:57" s="7" customFormat="1" ht="12.75">
      <c r="A14" s="107" t="s">
        <v>71</v>
      </c>
      <c r="B14" s="57">
        <v>7000</v>
      </c>
      <c r="C14" s="57">
        <v>10170.35786</v>
      </c>
      <c r="D14" s="57">
        <v>7000</v>
      </c>
      <c r="E14" s="65">
        <f t="shared" si="16"/>
        <v>0.4076793306857729</v>
      </c>
      <c r="F14" s="59">
        <f t="shared" si="17"/>
        <v>1</v>
      </c>
      <c r="G14" s="73"/>
      <c r="H14" s="74">
        <f t="shared" si="0"/>
        <v>1</v>
      </c>
      <c r="I14" s="57">
        <v>7000</v>
      </c>
      <c r="J14" s="63">
        <v>319481.46784</v>
      </c>
      <c r="K14" s="64">
        <v>217919.60984</v>
      </c>
      <c r="L14" s="57">
        <v>39480.6</v>
      </c>
      <c r="M14" s="57">
        <v>0</v>
      </c>
      <c r="N14" s="65">
        <f t="shared" si="18"/>
        <v>0.11275544706262233</v>
      </c>
      <c r="O14" s="59">
        <f t="shared" si="1"/>
        <v>1</v>
      </c>
      <c r="P14" s="73"/>
      <c r="Q14" s="74">
        <f t="shared" si="2"/>
        <v>1</v>
      </c>
      <c r="R14" s="103">
        <v>589.2</v>
      </c>
      <c r="S14" s="57">
        <v>329651.8257</v>
      </c>
      <c r="T14" s="67">
        <v>121782.31686</v>
      </c>
      <c r="U14" s="65">
        <f t="shared" si="3"/>
        <v>0.002834470544949021</v>
      </c>
      <c r="V14" s="59">
        <f t="shared" si="4"/>
        <v>1</v>
      </c>
      <c r="W14" s="73"/>
      <c r="X14" s="74">
        <f t="shared" si="19"/>
        <v>1</v>
      </c>
      <c r="Y14" s="57">
        <f t="shared" si="20"/>
        <v>10170.35786</v>
      </c>
      <c r="Z14" s="69"/>
      <c r="AA14" s="69">
        <v>10170.35786</v>
      </c>
      <c r="AB14" s="69"/>
      <c r="AC14" s="69">
        <f t="shared" si="5"/>
        <v>319481.46784</v>
      </c>
      <c r="AD14" s="69">
        <f t="shared" si="5"/>
        <v>217919.60984</v>
      </c>
      <c r="AE14" s="69">
        <f t="shared" si="5"/>
        <v>39480.6</v>
      </c>
      <c r="AF14" s="69">
        <f t="shared" si="21"/>
        <v>62081.25800000001</v>
      </c>
      <c r="AG14" s="70">
        <f>AF14*5%</f>
        <v>3104.062900000001</v>
      </c>
      <c r="AH14" s="69">
        <f t="shared" si="7"/>
        <v>13274.42076</v>
      </c>
      <c r="AI14" s="106">
        <f t="shared" si="8"/>
        <v>0</v>
      </c>
      <c r="AJ14" s="72">
        <f t="shared" si="22"/>
        <v>1.5</v>
      </c>
      <c r="AK14" s="108"/>
      <c r="AL14" s="74">
        <f t="shared" si="9"/>
        <v>1.5</v>
      </c>
      <c r="AM14" s="75">
        <v>9560.83422</v>
      </c>
      <c r="AN14" s="73">
        <v>10889.2</v>
      </c>
      <c r="AO14" s="105">
        <f t="shared" si="10"/>
        <v>0.8780107096940087</v>
      </c>
      <c r="AP14" s="77">
        <f t="shared" si="23"/>
        <v>1</v>
      </c>
      <c r="AQ14" s="108"/>
      <c r="AR14" s="109">
        <f t="shared" si="24"/>
        <v>1</v>
      </c>
      <c r="AS14" s="75">
        <v>22918.557</v>
      </c>
      <c r="AT14" s="73">
        <v>26367.808</v>
      </c>
      <c r="AU14" s="106">
        <f t="shared" si="25"/>
        <v>0.8691870405002949</v>
      </c>
      <c r="AV14" s="77">
        <f t="shared" si="26"/>
        <v>1</v>
      </c>
      <c r="AW14" s="108"/>
      <c r="AX14" s="109">
        <f t="shared" si="11"/>
        <v>1</v>
      </c>
      <c r="AY14" s="79" t="s">
        <v>67</v>
      </c>
      <c r="AZ14" s="80">
        <f t="shared" si="12"/>
        <v>2</v>
      </c>
      <c r="BA14" s="81">
        <f t="shared" si="13"/>
        <v>2</v>
      </c>
      <c r="BB14" s="79"/>
      <c r="BC14" s="80"/>
      <c r="BD14" s="81">
        <f t="shared" si="14"/>
        <v>0</v>
      </c>
      <c r="BE14" s="104">
        <f t="shared" si="15"/>
        <v>8.5</v>
      </c>
    </row>
    <row r="15" spans="1:57" s="7" customFormat="1" ht="12.75">
      <c r="A15" s="83" t="s">
        <v>72</v>
      </c>
      <c r="B15" s="84">
        <v>0</v>
      </c>
      <c r="C15" s="84">
        <v>1131.83777</v>
      </c>
      <c r="D15" s="84">
        <v>0</v>
      </c>
      <c r="E15" s="85">
        <f t="shared" si="16"/>
        <v>0</v>
      </c>
      <c r="F15" s="86"/>
      <c r="G15" s="87">
        <f>IF(E15&lt;=1.05,1,0)</f>
        <v>1</v>
      </c>
      <c r="H15" s="88">
        <f t="shared" si="0"/>
        <v>1</v>
      </c>
      <c r="I15" s="84">
        <v>0</v>
      </c>
      <c r="J15" s="89">
        <v>300571.46483</v>
      </c>
      <c r="K15" s="90">
        <v>216249.41083</v>
      </c>
      <c r="L15" s="84">
        <v>54374.091525423726</v>
      </c>
      <c r="M15" s="84">
        <v>0</v>
      </c>
      <c r="N15" s="85">
        <f t="shared" si="18"/>
        <v>0</v>
      </c>
      <c r="O15" s="86"/>
      <c r="P15" s="87">
        <f>IF(N15&lt;=0.5,1,0)</f>
        <v>1</v>
      </c>
      <c r="Q15" s="88">
        <f t="shared" si="2"/>
        <v>1</v>
      </c>
      <c r="R15" s="110">
        <v>0</v>
      </c>
      <c r="S15" s="84">
        <v>301703.3026</v>
      </c>
      <c r="T15" s="92">
        <v>128996.16073999999</v>
      </c>
      <c r="U15" s="85">
        <f t="shared" si="3"/>
        <v>0</v>
      </c>
      <c r="V15" s="86"/>
      <c r="W15" s="87">
        <f>IF(U15&lt;=0.15,1,0)</f>
        <v>1</v>
      </c>
      <c r="X15" s="88">
        <f t="shared" si="19"/>
        <v>1</v>
      </c>
      <c r="Y15" s="84">
        <f t="shared" si="20"/>
        <v>1131.83777</v>
      </c>
      <c r="Z15" s="93"/>
      <c r="AA15" s="93">
        <v>1131.83777</v>
      </c>
      <c r="AB15" s="93"/>
      <c r="AC15" s="93">
        <f t="shared" si="5"/>
        <v>300571.46483</v>
      </c>
      <c r="AD15" s="93">
        <f t="shared" si="5"/>
        <v>216249.41083</v>
      </c>
      <c r="AE15" s="93">
        <f t="shared" si="5"/>
        <v>54374.091525423726</v>
      </c>
      <c r="AF15" s="93">
        <f t="shared" si="21"/>
        <v>29947.962474576278</v>
      </c>
      <c r="AG15" s="93">
        <f>AF15*5%</f>
        <v>1497.398123728814</v>
      </c>
      <c r="AH15" s="93">
        <f t="shared" si="7"/>
        <v>2629.235893728814</v>
      </c>
      <c r="AI15" s="94">
        <f t="shared" si="8"/>
        <v>0</v>
      </c>
      <c r="AJ15" s="95"/>
      <c r="AK15" s="96">
        <f>IF(AI15&lt;=0.05,1.5,0)</f>
        <v>1.5</v>
      </c>
      <c r="AL15" s="88">
        <f t="shared" si="9"/>
        <v>1.5</v>
      </c>
      <c r="AM15" s="97">
        <v>11729.799</v>
      </c>
      <c r="AN15" s="87">
        <v>13941.974</v>
      </c>
      <c r="AO15" s="98">
        <f t="shared" si="10"/>
        <v>0.8413298575940538</v>
      </c>
      <c r="AP15" s="95"/>
      <c r="AQ15" s="96">
        <f>IF(AO15&lt;=1,1,0)</f>
        <v>1</v>
      </c>
      <c r="AR15" s="99">
        <f t="shared" si="24"/>
        <v>1</v>
      </c>
      <c r="AS15" s="97">
        <v>29662.016</v>
      </c>
      <c r="AT15" s="87">
        <v>34602.1</v>
      </c>
      <c r="AU15" s="94">
        <f t="shared" si="25"/>
        <v>0.8572316709101471</v>
      </c>
      <c r="AV15" s="95"/>
      <c r="AW15" s="96">
        <f>IF(AU15&lt;=1,1,0)</f>
        <v>1</v>
      </c>
      <c r="AX15" s="99">
        <f t="shared" si="11"/>
        <v>1</v>
      </c>
      <c r="AY15" s="79" t="s">
        <v>67</v>
      </c>
      <c r="AZ15" s="80">
        <f t="shared" si="12"/>
        <v>2</v>
      </c>
      <c r="BA15" s="81">
        <f t="shared" si="13"/>
        <v>2</v>
      </c>
      <c r="BB15" s="79"/>
      <c r="BC15" s="80"/>
      <c r="BD15" s="81">
        <f t="shared" si="14"/>
        <v>0</v>
      </c>
      <c r="BE15" s="100">
        <f t="shared" si="15"/>
        <v>8.5</v>
      </c>
    </row>
    <row r="16" spans="1:57" s="7" customFormat="1" ht="12.75">
      <c r="A16" s="107" t="s">
        <v>73</v>
      </c>
      <c r="B16" s="57">
        <v>60714.5</v>
      </c>
      <c r="C16" s="57">
        <v>16298.09506</v>
      </c>
      <c r="D16" s="57">
        <v>61714.5</v>
      </c>
      <c r="E16" s="65">
        <f t="shared" si="16"/>
        <v>0.7782653551430264</v>
      </c>
      <c r="F16" s="59">
        <f t="shared" si="17"/>
        <v>1</v>
      </c>
      <c r="G16" s="73"/>
      <c r="H16" s="74">
        <f t="shared" si="0"/>
        <v>1</v>
      </c>
      <c r="I16" s="57">
        <v>60714.5</v>
      </c>
      <c r="J16" s="63">
        <v>1449691.68677</v>
      </c>
      <c r="K16" s="64">
        <v>1101586.45977</v>
      </c>
      <c r="L16" s="57">
        <v>180253.6309512195</v>
      </c>
      <c r="M16" s="57">
        <v>0</v>
      </c>
      <c r="N16" s="65">
        <f t="shared" si="18"/>
        <v>0.36171535707265695</v>
      </c>
      <c r="O16" s="59">
        <f t="shared" si="1"/>
        <v>1</v>
      </c>
      <c r="P16" s="73"/>
      <c r="Q16" s="74">
        <f t="shared" si="2"/>
        <v>1</v>
      </c>
      <c r="R16" s="103">
        <v>5047.9</v>
      </c>
      <c r="S16" s="57">
        <v>1465989.78183</v>
      </c>
      <c r="T16" s="67">
        <v>560768.78501</v>
      </c>
      <c r="U16" s="65">
        <f t="shared" si="3"/>
        <v>0.005576428317209877</v>
      </c>
      <c r="V16" s="59">
        <f t="shared" si="4"/>
        <v>1</v>
      </c>
      <c r="W16" s="73"/>
      <c r="X16" s="74">
        <f t="shared" si="19"/>
        <v>1</v>
      </c>
      <c r="Y16" s="57">
        <f t="shared" si="20"/>
        <v>16298.09506</v>
      </c>
      <c r="Z16" s="69"/>
      <c r="AA16" s="69">
        <v>17298.09506</v>
      </c>
      <c r="AB16" s="69"/>
      <c r="AC16" s="69">
        <f t="shared" si="5"/>
        <v>1449691.68677</v>
      </c>
      <c r="AD16" s="69">
        <f t="shared" si="5"/>
        <v>1101586.45977</v>
      </c>
      <c r="AE16" s="69">
        <f t="shared" si="5"/>
        <v>180253.6309512195</v>
      </c>
      <c r="AF16" s="69">
        <f t="shared" si="21"/>
        <v>167851.59604878046</v>
      </c>
      <c r="AG16" s="70">
        <f t="shared" si="6"/>
        <v>16785.159604878045</v>
      </c>
      <c r="AH16" s="69">
        <f>IF(AA16&gt;0,AA16,0)+AG16+IF(AB16&gt;0,AB16,0)</f>
        <v>34083.25466487804</v>
      </c>
      <c r="AI16" s="106">
        <f t="shared" si="8"/>
        <v>0</v>
      </c>
      <c r="AJ16" s="72">
        <f t="shared" si="22"/>
        <v>1.5</v>
      </c>
      <c r="AK16" s="73"/>
      <c r="AL16" s="74">
        <f t="shared" si="9"/>
        <v>1.5</v>
      </c>
      <c r="AM16" s="75">
        <v>25515.923</v>
      </c>
      <c r="AN16" s="73">
        <v>33145.975</v>
      </c>
      <c r="AO16" s="105">
        <f t="shared" si="10"/>
        <v>0.7698045690313832</v>
      </c>
      <c r="AP16" s="77">
        <f t="shared" si="23"/>
        <v>1</v>
      </c>
      <c r="AQ16" s="73"/>
      <c r="AR16" s="109">
        <f t="shared" si="24"/>
        <v>1</v>
      </c>
      <c r="AS16" s="75">
        <v>67324.59</v>
      </c>
      <c r="AT16" s="73">
        <v>82494.294</v>
      </c>
      <c r="AU16" s="106">
        <f t="shared" si="25"/>
        <v>0.8161120816428831</v>
      </c>
      <c r="AV16" s="77">
        <f t="shared" si="26"/>
        <v>1</v>
      </c>
      <c r="AW16" s="73"/>
      <c r="AX16" s="109">
        <f t="shared" si="11"/>
        <v>1</v>
      </c>
      <c r="AY16" s="79" t="s">
        <v>67</v>
      </c>
      <c r="AZ16" s="80">
        <f t="shared" si="12"/>
        <v>2</v>
      </c>
      <c r="BA16" s="81">
        <f t="shared" si="13"/>
        <v>2</v>
      </c>
      <c r="BB16" s="79"/>
      <c r="BC16" s="80"/>
      <c r="BD16" s="81">
        <f t="shared" si="14"/>
        <v>0</v>
      </c>
      <c r="BE16" s="104">
        <f t="shared" si="15"/>
        <v>8.5</v>
      </c>
    </row>
    <row r="17" spans="1:57" s="7" customFormat="1" ht="12.75">
      <c r="A17" s="107" t="s">
        <v>74</v>
      </c>
      <c r="B17" s="57">
        <v>0</v>
      </c>
      <c r="C17" s="57">
        <v>4768.48404</v>
      </c>
      <c r="D17" s="57">
        <v>0</v>
      </c>
      <c r="E17" s="65">
        <f t="shared" si="16"/>
        <v>0</v>
      </c>
      <c r="F17" s="59">
        <f t="shared" si="17"/>
        <v>1</v>
      </c>
      <c r="G17" s="73"/>
      <c r="H17" s="74">
        <f t="shared" si="0"/>
        <v>1</v>
      </c>
      <c r="I17" s="57">
        <v>0</v>
      </c>
      <c r="J17" s="63">
        <v>357163.02305</v>
      </c>
      <c r="K17" s="64">
        <v>232700.52305000002</v>
      </c>
      <c r="L17" s="57">
        <v>41483.34782608695</v>
      </c>
      <c r="M17" s="57">
        <v>0</v>
      </c>
      <c r="N17" s="65">
        <f t="shared" si="18"/>
        <v>0</v>
      </c>
      <c r="O17" s="59">
        <f>IF(N17&lt;=1,1,0)</f>
        <v>1</v>
      </c>
      <c r="P17" s="73"/>
      <c r="Q17" s="74">
        <f>O17+P17</f>
        <v>1</v>
      </c>
      <c r="R17" s="103">
        <v>0</v>
      </c>
      <c r="S17" s="57">
        <v>361931.50708999997</v>
      </c>
      <c r="T17" s="67">
        <v>162080.99012</v>
      </c>
      <c r="U17" s="65">
        <f t="shared" si="3"/>
        <v>0</v>
      </c>
      <c r="V17" s="59">
        <f>IF(U17&lt;=0.15,1,0)</f>
        <v>1</v>
      </c>
      <c r="W17" s="73"/>
      <c r="X17" s="74">
        <f t="shared" si="19"/>
        <v>1</v>
      </c>
      <c r="Y17" s="57">
        <f t="shared" si="20"/>
        <v>4768.48404</v>
      </c>
      <c r="Z17" s="69"/>
      <c r="AA17" s="69">
        <v>4768.48404</v>
      </c>
      <c r="AB17" s="69"/>
      <c r="AC17" s="69">
        <f t="shared" si="5"/>
        <v>357163.02305</v>
      </c>
      <c r="AD17" s="69">
        <f t="shared" si="5"/>
        <v>232700.52305000002</v>
      </c>
      <c r="AE17" s="69">
        <f t="shared" si="5"/>
        <v>41483.34782608695</v>
      </c>
      <c r="AF17" s="69">
        <f t="shared" si="21"/>
        <v>82979.15217391305</v>
      </c>
      <c r="AG17" s="70">
        <f t="shared" si="6"/>
        <v>8297.915217391306</v>
      </c>
      <c r="AH17" s="69">
        <f aca="true" t="shared" si="27" ref="AH17:AH42">IF(AA17&gt;0,AA17,0)+AG17+IF(AB17&gt;0,AB17,0)</f>
        <v>13066.399257391306</v>
      </c>
      <c r="AI17" s="106">
        <f t="shared" si="8"/>
        <v>0</v>
      </c>
      <c r="AJ17" s="72">
        <f t="shared" si="22"/>
        <v>1.5</v>
      </c>
      <c r="AK17" s="73"/>
      <c r="AL17" s="74">
        <f t="shared" si="9"/>
        <v>1.5</v>
      </c>
      <c r="AM17" s="75">
        <v>10048.646</v>
      </c>
      <c r="AN17" s="73">
        <v>12949.924</v>
      </c>
      <c r="AO17" s="105">
        <f t="shared" si="10"/>
        <v>0.7759617739841562</v>
      </c>
      <c r="AP17" s="77">
        <f t="shared" si="23"/>
        <v>1</v>
      </c>
      <c r="AQ17" s="73"/>
      <c r="AR17" s="109">
        <f>AP17+AQ17</f>
        <v>1</v>
      </c>
      <c r="AS17" s="75">
        <v>26992.148</v>
      </c>
      <c r="AT17" s="73">
        <v>30692.789</v>
      </c>
      <c r="AU17" s="106">
        <f t="shared" si="25"/>
        <v>0.8794296275910279</v>
      </c>
      <c r="AV17" s="77">
        <f t="shared" si="26"/>
        <v>1</v>
      </c>
      <c r="AW17" s="73"/>
      <c r="AX17" s="109">
        <f t="shared" si="11"/>
        <v>1</v>
      </c>
      <c r="AY17" s="79" t="s">
        <v>67</v>
      </c>
      <c r="AZ17" s="80">
        <f t="shared" si="12"/>
        <v>2</v>
      </c>
      <c r="BA17" s="81">
        <f t="shared" si="13"/>
        <v>2</v>
      </c>
      <c r="BB17" s="79"/>
      <c r="BC17" s="80"/>
      <c r="BD17" s="81">
        <f t="shared" si="14"/>
        <v>0</v>
      </c>
      <c r="BE17" s="104">
        <f t="shared" si="15"/>
        <v>8.5</v>
      </c>
    </row>
    <row r="18" spans="1:57" s="7" customFormat="1" ht="12.75">
      <c r="A18" s="107" t="s">
        <v>75</v>
      </c>
      <c r="B18" s="57">
        <v>0</v>
      </c>
      <c r="C18" s="57">
        <v>2667.60095</v>
      </c>
      <c r="D18" s="57">
        <v>0</v>
      </c>
      <c r="E18" s="65">
        <f>IF(AND(B18=0,D18=0),0,B18/(IF(C18&gt;0,C18,0)+D18))</f>
        <v>0</v>
      </c>
      <c r="F18" s="59">
        <f>IF(E18&lt;=1.05,1,0)</f>
        <v>1</v>
      </c>
      <c r="G18" s="73"/>
      <c r="H18" s="74">
        <f>F18+G18</f>
        <v>1</v>
      </c>
      <c r="I18" s="57">
        <v>0</v>
      </c>
      <c r="J18" s="63">
        <v>203916.5885</v>
      </c>
      <c r="K18" s="64">
        <v>168358.0385</v>
      </c>
      <c r="L18" s="57">
        <v>20495.299999999996</v>
      </c>
      <c r="M18" s="57">
        <v>0</v>
      </c>
      <c r="N18" s="65">
        <f>(I18-M18)/(J18-K18-L18)</f>
        <v>0</v>
      </c>
      <c r="O18" s="59">
        <f>IF(N18&lt;=1,1,0)</f>
        <v>1</v>
      </c>
      <c r="P18" s="73"/>
      <c r="Q18" s="74">
        <f>O18+P18</f>
        <v>1</v>
      </c>
      <c r="R18" s="103">
        <v>0</v>
      </c>
      <c r="S18" s="57">
        <v>206584.18944999998</v>
      </c>
      <c r="T18" s="67">
        <v>99101.46985000001</v>
      </c>
      <c r="U18" s="65">
        <f>R18/(S18-T18)</f>
        <v>0</v>
      </c>
      <c r="V18" s="59">
        <f>IF(U18&lt;=0.15,1,0)</f>
        <v>1</v>
      </c>
      <c r="W18" s="73"/>
      <c r="X18" s="74">
        <f>V18+W18</f>
        <v>1</v>
      </c>
      <c r="Y18" s="57">
        <f t="shared" si="20"/>
        <v>2667.60095</v>
      </c>
      <c r="Z18" s="69"/>
      <c r="AA18" s="69">
        <v>2667.60095</v>
      </c>
      <c r="AB18" s="69"/>
      <c r="AC18" s="69">
        <f>J18</f>
        <v>203916.5885</v>
      </c>
      <c r="AD18" s="69">
        <f>K18</f>
        <v>168358.0385</v>
      </c>
      <c r="AE18" s="69">
        <f>L18</f>
        <v>20495.299999999996</v>
      </c>
      <c r="AF18" s="69">
        <f>AC18-AD18-AE18</f>
        <v>15063.250000000022</v>
      </c>
      <c r="AG18" s="70">
        <f>AF18*10%</f>
        <v>1506.3250000000023</v>
      </c>
      <c r="AH18" s="69">
        <f>IF(AA18&gt;0,AA18,0)+AG18+IF(AB18&gt;0,AB18,0)</f>
        <v>4173.925950000003</v>
      </c>
      <c r="AI18" s="106">
        <f>IF((Y18-IF(Z18&gt;0,Z18,0)-IF(AA18&gt;0,AA18,0)-IF(AB18&gt;0,AB18,0))/(AC18-AD18-AE18)&gt;0,(Y18-IF(Z18&gt;0,Z18,0)-IF(AA18&gt;0,AA18,0)-IF(AB18&gt;0,AB18,0))/(AC18-AD18-AE18),0)</f>
        <v>0</v>
      </c>
      <c r="AJ18" s="72">
        <f>IF(AI18&lt;=0.1,1.5,0)</f>
        <v>1.5</v>
      </c>
      <c r="AK18" s="73"/>
      <c r="AL18" s="74">
        <f>AJ18+AK18</f>
        <v>1.5</v>
      </c>
      <c r="AM18" s="75">
        <v>8303.727</v>
      </c>
      <c r="AN18" s="73">
        <v>12455.677</v>
      </c>
      <c r="AO18" s="105">
        <f>AM18/AN18</f>
        <v>0.6666620369169818</v>
      </c>
      <c r="AP18" s="77">
        <f>IF(AO18&lt;=1,1,0)</f>
        <v>1</v>
      </c>
      <c r="AQ18" s="73"/>
      <c r="AR18" s="109">
        <f>AP18+AQ18</f>
        <v>1</v>
      </c>
      <c r="AS18" s="75">
        <v>22157.505</v>
      </c>
      <c r="AT18" s="73">
        <v>31240.518</v>
      </c>
      <c r="AU18" s="106">
        <f>AS18/AT18</f>
        <v>0.7092553650999001</v>
      </c>
      <c r="AV18" s="77">
        <f>IF(AU18&lt;=1,1,0)</f>
        <v>1</v>
      </c>
      <c r="AW18" s="73"/>
      <c r="AX18" s="109">
        <f>AV18+AW18</f>
        <v>1</v>
      </c>
      <c r="AY18" s="79" t="s">
        <v>67</v>
      </c>
      <c r="AZ18" s="80">
        <f t="shared" si="12"/>
        <v>2</v>
      </c>
      <c r="BA18" s="81">
        <f t="shared" si="13"/>
        <v>2</v>
      </c>
      <c r="BB18" s="79"/>
      <c r="BC18" s="80"/>
      <c r="BD18" s="81">
        <f t="shared" si="14"/>
        <v>0</v>
      </c>
      <c r="BE18" s="104">
        <f t="shared" si="15"/>
        <v>8.5</v>
      </c>
    </row>
    <row r="19" spans="1:57" s="7" customFormat="1" ht="12.75">
      <c r="A19" s="83" t="s">
        <v>76</v>
      </c>
      <c r="B19" s="84">
        <v>0</v>
      </c>
      <c r="C19" s="84">
        <v>1387.48719</v>
      </c>
      <c r="D19" s="84">
        <v>0</v>
      </c>
      <c r="E19" s="85">
        <f t="shared" si="16"/>
        <v>0</v>
      </c>
      <c r="F19" s="86"/>
      <c r="G19" s="87">
        <f aca="true" t="shared" si="28" ref="G19:G39">IF(E19&lt;=1.05,1,0)</f>
        <v>1</v>
      </c>
      <c r="H19" s="88">
        <f t="shared" si="0"/>
        <v>1</v>
      </c>
      <c r="I19" s="84">
        <v>0</v>
      </c>
      <c r="J19" s="89">
        <v>325901.24117</v>
      </c>
      <c r="K19" s="90">
        <v>242079.24117</v>
      </c>
      <c r="L19" s="84">
        <v>46585.50000000001</v>
      </c>
      <c r="M19" s="84">
        <v>0</v>
      </c>
      <c r="N19" s="85">
        <f t="shared" si="18"/>
        <v>0</v>
      </c>
      <c r="O19" s="86"/>
      <c r="P19" s="87">
        <f aca="true" t="shared" si="29" ref="P19:P39">IF(N19&lt;=0.5,1,0)</f>
        <v>1</v>
      </c>
      <c r="Q19" s="88">
        <f t="shared" si="2"/>
        <v>1</v>
      </c>
      <c r="R19" s="91">
        <v>0</v>
      </c>
      <c r="S19" s="84">
        <v>327288.72836</v>
      </c>
      <c r="T19" s="92">
        <v>137900.61920999998</v>
      </c>
      <c r="U19" s="85">
        <f t="shared" si="3"/>
        <v>0</v>
      </c>
      <c r="V19" s="86"/>
      <c r="W19" s="87">
        <f aca="true" t="shared" si="30" ref="W19:W39">IF(U19&lt;=0.15,1,0)</f>
        <v>1</v>
      </c>
      <c r="X19" s="88">
        <f t="shared" si="19"/>
        <v>1</v>
      </c>
      <c r="Y19" s="84">
        <f t="shared" si="20"/>
        <v>1387.48719</v>
      </c>
      <c r="Z19" s="93"/>
      <c r="AA19" s="93">
        <v>1387.48719</v>
      </c>
      <c r="AB19" s="93"/>
      <c r="AC19" s="93">
        <f t="shared" si="5"/>
        <v>325901.24117</v>
      </c>
      <c r="AD19" s="93">
        <f t="shared" si="5"/>
        <v>242079.24117</v>
      </c>
      <c r="AE19" s="93">
        <f t="shared" si="5"/>
        <v>46585.50000000001</v>
      </c>
      <c r="AF19" s="93">
        <f t="shared" si="21"/>
        <v>37236.49999999999</v>
      </c>
      <c r="AG19" s="93">
        <f>AF19*10%</f>
        <v>3723.6499999999996</v>
      </c>
      <c r="AH19" s="93">
        <f t="shared" si="27"/>
        <v>5111.1371899999995</v>
      </c>
      <c r="AI19" s="94">
        <f t="shared" si="8"/>
        <v>0</v>
      </c>
      <c r="AJ19" s="95"/>
      <c r="AK19" s="96">
        <f aca="true" t="shared" si="31" ref="AK19:AK34">IF(AI19&lt;=0.05,1.5,0)</f>
        <v>1.5</v>
      </c>
      <c r="AL19" s="88">
        <f t="shared" si="9"/>
        <v>1.5</v>
      </c>
      <c r="AM19" s="97">
        <v>10719.768</v>
      </c>
      <c r="AN19" s="87">
        <v>13941.974</v>
      </c>
      <c r="AO19" s="98">
        <f t="shared" si="10"/>
        <v>0.7688845209437344</v>
      </c>
      <c r="AP19" s="95"/>
      <c r="AQ19" s="96">
        <f aca="true" t="shared" si="32" ref="AQ19:AQ34">IF(AO19&lt;=1,1,0)</f>
        <v>1</v>
      </c>
      <c r="AR19" s="99">
        <f t="shared" si="24"/>
        <v>1</v>
      </c>
      <c r="AS19" s="97">
        <v>28412.0096</v>
      </c>
      <c r="AT19" s="87">
        <v>34602.1</v>
      </c>
      <c r="AU19" s="94">
        <f t="shared" si="25"/>
        <v>0.8211065108765075</v>
      </c>
      <c r="AV19" s="95"/>
      <c r="AW19" s="96">
        <f aca="true" t="shared" si="33" ref="AW19:AW34">IF(AU19&lt;=1,1,0)</f>
        <v>1</v>
      </c>
      <c r="AX19" s="99">
        <f t="shared" si="11"/>
        <v>1</v>
      </c>
      <c r="AY19" s="79" t="s">
        <v>67</v>
      </c>
      <c r="AZ19" s="80">
        <f t="shared" si="12"/>
        <v>2</v>
      </c>
      <c r="BA19" s="81">
        <f t="shared" si="13"/>
        <v>2</v>
      </c>
      <c r="BB19" s="79"/>
      <c r="BC19" s="80"/>
      <c r="BD19" s="81">
        <f t="shared" si="14"/>
        <v>0</v>
      </c>
      <c r="BE19" s="100">
        <f t="shared" si="15"/>
        <v>8.5</v>
      </c>
    </row>
    <row r="20" spans="1:57" s="7" customFormat="1" ht="12.75">
      <c r="A20" s="83" t="s">
        <v>77</v>
      </c>
      <c r="B20" s="84">
        <v>0</v>
      </c>
      <c r="C20" s="84">
        <v>3611.7473999999997</v>
      </c>
      <c r="D20" s="84">
        <v>0</v>
      </c>
      <c r="E20" s="85">
        <f t="shared" si="16"/>
        <v>0</v>
      </c>
      <c r="F20" s="86"/>
      <c r="G20" s="87">
        <f t="shared" si="28"/>
        <v>1</v>
      </c>
      <c r="H20" s="88">
        <f t="shared" si="0"/>
        <v>1</v>
      </c>
      <c r="I20" s="84">
        <v>0</v>
      </c>
      <c r="J20" s="89">
        <v>161004.85774</v>
      </c>
      <c r="K20" s="90">
        <v>122648.89274</v>
      </c>
      <c r="L20" s="84">
        <v>21690.55</v>
      </c>
      <c r="M20" s="84">
        <v>0</v>
      </c>
      <c r="N20" s="85">
        <f t="shared" si="18"/>
        <v>0</v>
      </c>
      <c r="O20" s="86"/>
      <c r="P20" s="87">
        <f t="shared" si="29"/>
        <v>1</v>
      </c>
      <c r="Q20" s="88">
        <f t="shared" si="2"/>
        <v>1</v>
      </c>
      <c r="R20" s="91">
        <v>0</v>
      </c>
      <c r="S20" s="84">
        <v>164616.60514</v>
      </c>
      <c r="T20" s="92">
        <v>71634.22473999999</v>
      </c>
      <c r="U20" s="85">
        <f t="shared" si="3"/>
        <v>0</v>
      </c>
      <c r="V20" s="86"/>
      <c r="W20" s="87">
        <f t="shared" si="30"/>
        <v>1</v>
      </c>
      <c r="X20" s="88">
        <f t="shared" si="19"/>
        <v>1</v>
      </c>
      <c r="Y20" s="84">
        <f t="shared" si="20"/>
        <v>3611.7473999999997</v>
      </c>
      <c r="Z20" s="93"/>
      <c r="AA20" s="93">
        <v>3611.7473999999997</v>
      </c>
      <c r="AB20" s="93"/>
      <c r="AC20" s="93">
        <f t="shared" si="5"/>
        <v>161004.85774</v>
      </c>
      <c r="AD20" s="93">
        <f t="shared" si="5"/>
        <v>122648.89274</v>
      </c>
      <c r="AE20" s="93">
        <f t="shared" si="5"/>
        <v>21690.55</v>
      </c>
      <c r="AF20" s="93">
        <f t="shared" si="21"/>
        <v>16665.41500000001</v>
      </c>
      <c r="AG20" s="93">
        <f>AF20*5%</f>
        <v>833.2707500000006</v>
      </c>
      <c r="AH20" s="93">
        <f t="shared" si="27"/>
        <v>4445.01815</v>
      </c>
      <c r="AI20" s="94">
        <f t="shared" si="8"/>
        <v>0</v>
      </c>
      <c r="AJ20" s="86"/>
      <c r="AK20" s="96">
        <f t="shared" si="31"/>
        <v>1.5</v>
      </c>
      <c r="AL20" s="88">
        <f t="shared" si="9"/>
        <v>1.5</v>
      </c>
      <c r="AM20" s="97">
        <v>7595.677</v>
      </c>
      <c r="AN20" s="87">
        <v>11425.258</v>
      </c>
      <c r="AO20" s="98">
        <f t="shared" si="10"/>
        <v>0.664814483839227</v>
      </c>
      <c r="AP20" s="86"/>
      <c r="AQ20" s="96">
        <f t="shared" si="32"/>
        <v>1</v>
      </c>
      <c r="AR20" s="99">
        <f t="shared" si="24"/>
        <v>1</v>
      </c>
      <c r="AS20" s="97">
        <v>20756.279</v>
      </c>
      <c r="AT20" s="87">
        <v>28937.664</v>
      </c>
      <c r="AU20" s="94">
        <f t="shared" si="25"/>
        <v>0.717275554792536</v>
      </c>
      <c r="AV20" s="86"/>
      <c r="AW20" s="96">
        <f t="shared" si="33"/>
        <v>1</v>
      </c>
      <c r="AX20" s="99">
        <f t="shared" si="11"/>
        <v>1</v>
      </c>
      <c r="AY20" s="79" t="s">
        <v>67</v>
      </c>
      <c r="AZ20" s="80">
        <f t="shared" si="12"/>
        <v>2</v>
      </c>
      <c r="BA20" s="81">
        <f t="shared" si="13"/>
        <v>2</v>
      </c>
      <c r="BB20" s="79"/>
      <c r="BC20" s="80"/>
      <c r="BD20" s="81">
        <f t="shared" si="14"/>
        <v>0</v>
      </c>
      <c r="BE20" s="100">
        <f t="shared" si="15"/>
        <v>8.5</v>
      </c>
    </row>
    <row r="21" spans="1:57" s="7" customFormat="1" ht="12.75">
      <c r="A21" s="83" t="s">
        <v>78</v>
      </c>
      <c r="B21" s="84">
        <v>0</v>
      </c>
      <c r="C21" s="84">
        <v>935.70542</v>
      </c>
      <c r="D21" s="84">
        <v>0</v>
      </c>
      <c r="E21" s="85">
        <f t="shared" si="16"/>
        <v>0</v>
      </c>
      <c r="F21" s="86"/>
      <c r="G21" s="87">
        <f t="shared" si="28"/>
        <v>1</v>
      </c>
      <c r="H21" s="88">
        <f t="shared" si="0"/>
        <v>1</v>
      </c>
      <c r="I21" s="84">
        <v>0</v>
      </c>
      <c r="J21" s="89">
        <v>658736.4317999999</v>
      </c>
      <c r="K21" s="90">
        <v>514402.2378</v>
      </c>
      <c r="L21" s="84">
        <v>90724</v>
      </c>
      <c r="M21" s="84">
        <v>0</v>
      </c>
      <c r="N21" s="85">
        <f t="shared" si="18"/>
        <v>0</v>
      </c>
      <c r="O21" s="86"/>
      <c r="P21" s="87">
        <f t="shared" si="29"/>
        <v>1</v>
      </c>
      <c r="Q21" s="88">
        <f t="shared" si="2"/>
        <v>1</v>
      </c>
      <c r="R21" s="91">
        <v>0</v>
      </c>
      <c r="S21" s="84">
        <v>659672.13722</v>
      </c>
      <c r="T21" s="92">
        <v>236769.74401000002</v>
      </c>
      <c r="U21" s="85">
        <f t="shared" si="3"/>
        <v>0</v>
      </c>
      <c r="V21" s="86"/>
      <c r="W21" s="87">
        <f t="shared" si="30"/>
        <v>1</v>
      </c>
      <c r="X21" s="88">
        <f t="shared" si="19"/>
        <v>1</v>
      </c>
      <c r="Y21" s="84">
        <f t="shared" si="20"/>
        <v>935.70542</v>
      </c>
      <c r="Z21" s="93"/>
      <c r="AA21" s="93">
        <v>935.70542</v>
      </c>
      <c r="AB21" s="93"/>
      <c r="AC21" s="93">
        <f t="shared" si="5"/>
        <v>658736.4317999999</v>
      </c>
      <c r="AD21" s="93">
        <f t="shared" si="5"/>
        <v>514402.2378</v>
      </c>
      <c r="AE21" s="93">
        <f t="shared" si="5"/>
        <v>90724</v>
      </c>
      <c r="AF21" s="93">
        <f t="shared" si="21"/>
        <v>53610.1939999999</v>
      </c>
      <c r="AG21" s="93">
        <f>AF21*10%</f>
        <v>5361.01939999999</v>
      </c>
      <c r="AH21" s="93">
        <f t="shared" si="27"/>
        <v>6296.72481999999</v>
      </c>
      <c r="AI21" s="94">
        <f t="shared" si="8"/>
        <v>0</v>
      </c>
      <c r="AJ21" s="95"/>
      <c r="AK21" s="96">
        <f t="shared" si="31"/>
        <v>1.5</v>
      </c>
      <c r="AL21" s="88">
        <f t="shared" si="9"/>
        <v>1.5</v>
      </c>
      <c r="AM21" s="97">
        <v>16845.927</v>
      </c>
      <c r="AN21" s="87">
        <v>19855.388</v>
      </c>
      <c r="AO21" s="98">
        <f t="shared" si="10"/>
        <v>0.8484310152992226</v>
      </c>
      <c r="AP21" s="95"/>
      <c r="AQ21" s="96">
        <f t="shared" si="32"/>
        <v>1</v>
      </c>
      <c r="AR21" s="99">
        <f t="shared" si="24"/>
        <v>1</v>
      </c>
      <c r="AS21" s="97">
        <v>38294.621</v>
      </c>
      <c r="AT21" s="87">
        <v>45573.536</v>
      </c>
      <c r="AU21" s="94">
        <f t="shared" si="25"/>
        <v>0.8402819785587846</v>
      </c>
      <c r="AV21" s="95"/>
      <c r="AW21" s="96">
        <f t="shared" si="33"/>
        <v>1</v>
      </c>
      <c r="AX21" s="99">
        <f t="shared" si="11"/>
        <v>1</v>
      </c>
      <c r="AY21" s="79" t="s">
        <v>67</v>
      </c>
      <c r="AZ21" s="80">
        <f t="shared" si="12"/>
        <v>2</v>
      </c>
      <c r="BA21" s="81">
        <f t="shared" si="13"/>
        <v>2</v>
      </c>
      <c r="BB21" s="79"/>
      <c r="BC21" s="80"/>
      <c r="BD21" s="81">
        <f t="shared" si="14"/>
        <v>0</v>
      </c>
      <c r="BE21" s="100">
        <f t="shared" si="15"/>
        <v>8.5</v>
      </c>
    </row>
    <row r="22" spans="1:57" s="7" customFormat="1" ht="12.75">
      <c r="A22" s="83" t="s">
        <v>79</v>
      </c>
      <c r="B22" s="84">
        <v>0</v>
      </c>
      <c r="C22" s="84">
        <v>7632.59614</v>
      </c>
      <c r="D22" s="84">
        <v>0</v>
      </c>
      <c r="E22" s="85">
        <f t="shared" si="16"/>
        <v>0</v>
      </c>
      <c r="F22" s="86"/>
      <c r="G22" s="87">
        <f t="shared" si="28"/>
        <v>1</v>
      </c>
      <c r="H22" s="88">
        <f t="shared" si="0"/>
        <v>1</v>
      </c>
      <c r="I22" s="84">
        <v>0</v>
      </c>
      <c r="J22" s="89">
        <v>206571.62555000003</v>
      </c>
      <c r="K22" s="90">
        <v>158285.62555000003</v>
      </c>
      <c r="L22" s="84">
        <v>35970.25</v>
      </c>
      <c r="M22" s="84">
        <v>0</v>
      </c>
      <c r="N22" s="85">
        <f t="shared" si="18"/>
        <v>0</v>
      </c>
      <c r="O22" s="86"/>
      <c r="P22" s="87">
        <f t="shared" si="29"/>
        <v>1</v>
      </c>
      <c r="Q22" s="88">
        <f t="shared" si="2"/>
        <v>1</v>
      </c>
      <c r="R22" s="91">
        <v>0</v>
      </c>
      <c r="S22" s="84">
        <v>214204.22169</v>
      </c>
      <c r="T22" s="92">
        <v>100568.4142</v>
      </c>
      <c r="U22" s="85">
        <f t="shared" si="3"/>
        <v>0</v>
      </c>
      <c r="V22" s="86"/>
      <c r="W22" s="87">
        <f t="shared" si="30"/>
        <v>1</v>
      </c>
      <c r="X22" s="88">
        <f t="shared" si="19"/>
        <v>1</v>
      </c>
      <c r="Y22" s="84">
        <f t="shared" si="20"/>
        <v>7632.59614</v>
      </c>
      <c r="Z22" s="93"/>
      <c r="AA22" s="93">
        <v>7632.59614</v>
      </c>
      <c r="AB22" s="93"/>
      <c r="AC22" s="93">
        <f t="shared" si="5"/>
        <v>206571.62555000003</v>
      </c>
      <c r="AD22" s="93">
        <f t="shared" si="5"/>
        <v>158285.62555000003</v>
      </c>
      <c r="AE22" s="93">
        <f t="shared" si="5"/>
        <v>35970.25</v>
      </c>
      <c r="AF22" s="93">
        <f t="shared" si="21"/>
        <v>12315.75</v>
      </c>
      <c r="AG22" s="93">
        <f>AF22*5%</f>
        <v>615.7875</v>
      </c>
      <c r="AH22" s="93">
        <f t="shared" si="27"/>
        <v>8248.38364</v>
      </c>
      <c r="AI22" s="94">
        <f t="shared" si="8"/>
        <v>0</v>
      </c>
      <c r="AJ22" s="86"/>
      <c r="AK22" s="96">
        <f t="shared" si="31"/>
        <v>1.5</v>
      </c>
      <c r="AL22" s="88">
        <f t="shared" si="9"/>
        <v>1.5</v>
      </c>
      <c r="AM22" s="97">
        <v>9490.294</v>
      </c>
      <c r="AN22" s="87">
        <v>12455.677</v>
      </c>
      <c r="AO22" s="98">
        <f t="shared" si="10"/>
        <v>0.7619251847972616</v>
      </c>
      <c r="AP22" s="86"/>
      <c r="AQ22" s="96">
        <f t="shared" si="32"/>
        <v>1</v>
      </c>
      <c r="AR22" s="99">
        <f t="shared" si="24"/>
        <v>1</v>
      </c>
      <c r="AS22" s="97">
        <v>27218.56784</v>
      </c>
      <c r="AT22" s="87">
        <v>31240.518</v>
      </c>
      <c r="AU22" s="94">
        <f t="shared" si="25"/>
        <v>0.8712585316287009</v>
      </c>
      <c r="AV22" s="86"/>
      <c r="AW22" s="96">
        <f t="shared" si="33"/>
        <v>1</v>
      </c>
      <c r="AX22" s="99">
        <f t="shared" si="11"/>
        <v>1</v>
      </c>
      <c r="AY22" s="79" t="s">
        <v>67</v>
      </c>
      <c r="AZ22" s="80">
        <f t="shared" si="12"/>
        <v>2</v>
      </c>
      <c r="BA22" s="81">
        <f t="shared" si="13"/>
        <v>2</v>
      </c>
      <c r="BB22" s="79"/>
      <c r="BC22" s="80"/>
      <c r="BD22" s="81">
        <f t="shared" si="14"/>
        <v>0</v>
      </c>
      <c r="BE22" s="100">
        <f t="shared" si="15"/>
        <v>8.5</v>
      </c>
    </row>
    <row r="23" spans="1:57" s="7" customFormat="1" ht="12.75">
      <c r="A23" s="83" t="s">
        <v>80</v>
      </c>
      <c r="B23" s="84">
        <v>0</v>
      </c>
      <c r="C23" s="84">
        <v>2854.58738</v>
      </c>
      <c r="D23" s="84">
        <v>0</v>
      </c>
      <c r="E23" s="85">
        <f t="shared" si="16"/>
        <v>0</v>
      </c>
      <c r="F23" s="86"/>
      <c r="G23" s="87">
        <f t="shared" si="28"/>
        <v>1</v>
      </c>
      <c r="H23" s="88">
        <f t="shared" si="0"/>
        <v>1</v>
      </c>
      <c r="I23" s="84">
        <v>0</v>
      </c>
      <c r="J23" s="89">
        <v>506052.67719</v>
      </c>
      <c r="K23" s="90">
        <v>332259.58719</v>
      </c>
      <c r="L23" s="84">
        <v>99111.02173913043</v>
      </c>
      <c r="M23" s="84">
        <v>0</v>
      </c>
      <c r="N23" s="85">
        <f t="shared" si="18"/>
        <v>0</v>
      </c>
      <c r="O23" s="86"/>
      <c r="P23" s="87">
        <f t="shared" si="29"/>
        <v>1</v>
      </c>
      <c r="Q23" s="88">
        <f t="shared" si="2"/>
        <v>1</v>
      </c>
      <c r="R23" s="91">
        <v>0</v>
      </c>
      <c r="S23" s="84">
        <v>508907.26457</v>
      </c>
      <c r="T23" s="92">
        <v>225834.57512999998</v>
      </c>
      <c r="U23" s="85">
        <f t="shared" si="3"/>
        <v>0</v>
      </c>
      <c r="V23" s="86"/>
      <c r="W23" s="87">
        <f t="shared" si="30"/>
        <v>1</v>
      </c>
      <c r="X23" s="88">
        <f t="shared" si="19"/>
        <v>1</v>
      </c>
      <c r="Y23" s="84">
        <f t="shared" si="20"/>
        <v>2854.58738</v>
      </c>
      <c r="Z23" s="93"/>
      <c r="AA23" s="93">
        <v>2854.58738</v>
      </c>
      <c r="AB23" s="93"/>
      <c r="AC23" s="93">
        <f t="shared" si="5"/>
        <v>506052.67719</v>
      </c>
      <c r="AD23" s="93">
        <f t="shared" si="5"/>
        <v>332259.58719</v>
      </c>
      <c r="AE23" s="93">
        <f t="shared" si="5"/>
        <v>99111.02173913043</v>
      </c>
      <c r="AF23" s="93">
        <f t="shared" si="21"/>
        <v>74682.0682608696</v>
      </c>
      <c r="AG23" s="93">
        <f>AF23*10%</f>
        <v>7468.20682608696</v>
      </c>
      <c r="AH23" s="93">
        <f t="shared" si="27"/>
        <v>10322.794206086961</v>
      </c>
      <c r="AI23" s="94">
        <f t="shared" si="8"/>
        <v>0</v>
      </c>
      <c r="AJ23" s="95"/>
      <c r="AK23" s="96">
        <f t="shared" si="31"/>
        <v>1.5</v>
      </c>
      <c r="AL23" s="88">
        <f t="shared" si="9"/>
        <v>1.5</v>
      </c>
      <c r="AM23" s="97">
        <v>16493.156</v>
      </c>
      <c r="AN23" s="87">
        <v>19855.388</v>
      </c>
      <c r="AO23" s="98">
        <f t="shared" si="10"/>
        <v>0.8306639991119791</v>
      </c>
      <c r="AP23" s="95"/>
      <c r="AQ23" s="96">
        <f t="shared" si="32"/>
        <v>1</v>
      </c>
      <c r="AR23" s="99">
        <f t="shared" si="24"/>
        <v>1</v>
      </c>
      <c r="AS23" s="97">
        <v>40553.81</v>
      </c>
      <c r="AT23" s="87">
        <v>45573.536</v>
      </c>
      <c r="AU23" s="94">
        <f t="shared" si="25"/>
        <v>0.8898543663585814</v>
      </c>
      <c r="AV23" s="95"/>
      <c r="AW23" s="96">
        <f t="shared" si="33"/>
        <v>1</v>
      </c>
      <c r="AX23" s="99">
        <f t="shared" si="11"/>
        <v>1</v>
      </c>
      <c r="AY23" s="79" t="s">
        <v>67</v>
      </c>
      <c r="AZ23" s="80">
        <f t="shared" si="12"/>
        <v>2</v>
      </c>
      <c r="BA23" s="81">
        <f t="shared" si="13"/>
        <v>2</v>
      </c>
      <c r="BB23" s="79"/>
      <c r="BC23" s="80"/>
      <c r="BD23" s="81">
        <f t="shared" si="14"/>
        <v>0</v>
      </c>
      <c r="BE23" s="100">
        <f t="shared" si="15"/>
        <v>8.5</v>
      </c>
    </row>
    <row r="24" spans="1:57" s="7" customFormat="1" ht="12.75">
      <c r="A24" s="83" t="s">
        <v>81</v>
      </c>
      <c r="B24" s="84">
        <v>0</v>
      </c>
      <c r="C24" s="84">
        <v>17749.63954</v>
      </c>
      <c r="D24" s="84">
        <v>0</v>
      </c>
      <c r="E24" s="85">
        <f t="shared" si="16"/>
        <v>0</v>
      </c>
      <c r="F24" s="86"/>
      <c r="G24" s="87">
        <f t="shared" si="28"/>
        <v>1</v>
      </c>
      <c r="H24" s="88">
        <f t="shared" si="0"/>
        <v>1</v>
      </c>
      <c r="I24" s="84">
        <v>0</v>
      </c>
      <c r="J24" s="89">
        <v>261016.83457</v>
      </c>
      <c r="K24" s="90">
        <v>205480.13457</v>
      </c>
      <c r="L24" s="84">
        <v>37527.291666666664</v>
      </c>
      <c r="M24" s="84">
        <v>0</v>
      </c>
      <c r="N24" s="85">
        <f t="shared" si="18"/>
        <v>0</v>
      </c>
      <c r="O24" s="86"/>
      <c r="P24" s="87">
        <f t="shared" si="29"/>
        <v>1</v>
      </c>
      <c r="Q24" s="88">
        <f t="shared" si="2"/>
        <v>1</v>
      </c>
      <c r="R24" s="91">
        <v>0</v>
      </c>
      <c r="S24" s="84">
        <v>278766.47411</v>
      </c>
      <c r="T24" s="92">
        <v>116349.84767</v>
      </c>
      <c r="U24" s="85">
        <f t="shared" si="3"/>
        <v>0</v>
      </c>
      <c r="V24" s="86"/>
      <c r="W24" s="87">
        <f t="shared" si="30"/>
        <v>1</v>
      </c>
      <c r="X24" s="88">
        <f t="shared" si="19"/>
        <v>1</v>
      </c>
      <c r="Y24" s="84">
        <f t="shared" si="20"/>
        <v>17749.63954</v>
      </c>
      <c r="Z24" s="93"/>
      <c r="AA24" s="93">
        <v>17749.63954</v>
      </c>
      <c r="AB24" s="93"/>
      <c r="AC24" s="93">
        <f t="shared" si="5"/>
        <v>261016.83457</v>
      </c>
      <c r="AD24" s="93">
        <f t="shared" si="5"/>
        <v>205480.13457</v>
      </c>
      <c r="AE24" s="93">
        <f t="shared" si="5"/>
        <v>37527.291666666664</v>
      </c>
      <c r="AF24" s="93">
        <f t="shared" si="21"/>
        <v>18009.408333333347</v>
      </c>
      <c r="AG24" s="93">
        <f aca="true" t="shared" si="34" ref="AG24:AG32">AF24*5%</f>
        <v>900.4704166666675</v>
      </c>
      <c r="AH24" s="93">
        <f t="shared" si="27"/>
        <v>18650.109956666667</v>
      </c>
      <c r="AI24" s="94">
        <f t="shared" si="8"/>
        <v>0</v>
      </c>
      <c r="AJ24" s="95"/>
      <c r="AK24" s="96">
        <f t="shared" si="31"/>
        <v>1.5</v>
      </c>
      <c r="AL24" s="88">
        <f t="shared" si="9"/>
        <v>1.5</v>
      </c>
      <c r="AM24" s="97">
        <v>11374.8</v>
      </c>
      <c r="AN24" s="87">
        <v>13941.974</v>
      </c>
      <c r="AO24" s="98">
        <f t="shared" si="10"/>
        <v>0.8158672509359147</v>
      </c>
      <c r="AP24" s="95"/>
      <c r="AQ24" s="96">
        <f t="shared" si="32"/>
        <v>1</v>
      </c>
      <c r="AR24" s="99">
        <f>AP24+AQ24</f>
        <v>1</v>
      </c>
      <c r="AS24" s="97">
        <v>29262.945</v>
      </c>
      <c r="AT24" s="87">
        <v>34602.1</v>
      </c>
      <c r="AU24" s="94">
        <f t="shared" si="25"/>
        <v>0.8456985269680164</v>
      </c>
      <c r="AV24" s="95"/>
      <c r="AW24" s="96">
        <f t="shared" si="33"/>
        <v>1</v>
      </c>
      <c r="AX24" s="99">
        <f t="shared" si="11"/>
        <v>1</v>
      </c>
      <c r="AY24" s="79" t="s">
        <v>67</v>
      </c>
      <c r="AZ24" s="80">
        <f t="shared" si="12"/>
        <v>2</v>
      </c>
      <c r="BA24" s="81">
        <f t="shared" si="13"/>
        <v>2</v>
      </c>
      <c r="BB24" s="79"/>
      <c r="BC24" s="80"/>
      <c r="BD24" s="81">
        <f t="shared" si="14"/>
        <v>0</v>
      </c>
      <c r="BE24" s="100">
        <f t="shared" si="15"/>
        <v>8.5</v>
      </c>
    </row>
    <row r="25" spans="1:57" s="7" customFormat="1" ht="12.75">
      <c r="A25" s="83" t="s">
        <v>82</v>
      </c>
      <c r="B25" s="84">
        <v>0</v>
      </c>
      <c r="C25" s="84">
        <v>9347.98089</v>
      </c>
      <c r="D25" s="84">
        <v>1075</v>
      </c>
      <c r="E25" s="85">
        <f t="shared" si="16"/>
        <v>0</v>
      </c>
      <c r="F25" s="86"/>
      <c r="G25" s="87">
        <f t="shared" si="28"/>
        <v>1</v>
      </c>
      <c r="H25" s="88">
        <f t="shared" si="0"/>
        <v>1</v>
      </c>
      <c r="I25" s="84">
        <v>0</v>
      </c>
      <c r="J25" s="89">
        <v>493197.7547</v>
      </c>
      <c r="K25" s="90">
        <v>355845.35469999997</v>
      </c>
      <c r="L25" s="84">
        <v>98059.875</v>
      </c>
      <c r="M25" s="84">
        <v>0</v>
      </c>
      <c r="N25" s="85">
        <f t="shared" si="18"/>
        <v>0</v>
      </c>
      <c r="O25" s="86"/>
      <c r="P25" s="87">
        <f t="shared" si="29"/>
        <v>1</v>
      </c>
      <c r="Q25" s="88">
        <f>O25+P25</f>
        <v>1</v>
      </c>
      <c r="R25" s="91">
        <v>42.1</v>
      </c>
      <c r="S25" s="84">
        <v>502545.73559</v>
      </c>
      <c r="T25" s="92">
        <v>219724.43714</v>
      </c>
      <c r="U25" s="85">
        <f t="shared" si="3"/>
        <v>0.0001488572474234746</v>
      </c>
      <c r="V25" s="86"/>
      <c r="W25" s="87">
        <f t="shared" si="30"/>
        <v>1</v>
      </c>
      <c r="X25" s="88">
        <f t="shared" si="19"/>
        <v>1</v>
      </c>
      <c r="Y25" s="84">
        <f t="shared" si="20"/>
        <v>9347.98089</v>
      </c>
      <c r="Z25" s="93"/>
      <c r="AA25" s="93">
        <v>10422.98089</v>
      </c>
      <c r="AB25" s="93"/>
      <c r="AC25" s="93">
        <f t="shared" si="5"/>
        <v>493197.7547</v>
      </c>
      <c r="AD25" s="93">
        <f t="shared" si="5"/>
        <v>355845.35469999997</v>
      </c>
      <c r="AE25" s="93">
        <f t="shared" si="5"/>
        <v>98059.875</v>
      </c>
      <c r="AF25" s="93">
        <f t="shared" si="21"/>
        <v>39292.52500000002</v>
      </c>
      <c r="AG25" s="93">
        <f>AF25*10%</f>
        <v>3929.2525000000023</v>
      </c>
      <c r="AH25" s="93">
        <f t="shared" si="27"/>
        <v>14352.233390000003</v>
      </c>
      <c r="AI25" s="94">
        <f t="shared" si="8"/>
        <v>0</v>
      </c>
      <c r="AJ25" s="95"/>
      <c r="AK25" s="96">
        <f t="shared" si="31"/>
        <v>1.5</v>
      </c>
      <c r="AL25" s="88">
        <f t="shared" si="9"/>
        <v>1.5</v>
      </c>
      <c r="AM25" s="97">
        <v>12449.79568</v>
      </c>
      <c r="AN25" s="87">
        <v>16476.592</v>
      </c>
      <c r="AO25" s="98">
        <f t="shared" si="10"/>
        <v>0.7556050231746952</v>
      </c>
      <c r="AP25" s="95"/>
      <c r="AQ25" s="96">
        <f t="shared" si="32"/>
        <v>1</v>
      </c>
      <c r="AR25" s="99">
        <f t="shared" si="24"/>
        <v>1</v>
      </c>
      <c r="AS25" s="97">
        <v>25969.43804</v>
      </c>
      <c r="AT25" s="87">
        <v>39255.114</v>
      </c>
      <c r="AU25" s="94">
        <f t="shared" si="25"/>
        <v>0.6615555374517572</v>
      </c>
      <c r="AV25" s="95"/>
      <c r="AW25" s="96">
        <f t="shared" si="33"/>
        <v>1</v>
      </c>
      <c r="AX25" s="99">
        <f t="shared" si="11"/>
        <v>1</v>
      </c>
      <c r="AY25" s="79" t="s">
        <v>67</v>
      </c>
      <c r="AZ25" s="80">
        <f t="shared" si="12"/>
        <v>2</v>
      </c>
      <c r="BA25" s="81">
        <f t="shared" si="13"/>
        <v>2</v>
      </c>
      <c r="BB25" s="79"/>
      <c r="BC25" s="80"/>
      <c r="BD25" s="81">
        <f t="shared" si="14"/>
        <v>0</v>
      </c>
      <c r="BE25" s="100">
        <f t="shared" si="15"/>
        <v>8.5</v>
      </c>
    </row>
    <row r="26" spans="1:57" s="7" customFormat="1" ht="12.75">
      <c r="A26" s="83" t="s">
        <v>83</v>
      </c>
      <c r="B26" s="84">
        <v>0</v>
      </c>
      <c r="C26" s="84">
        <v>13533.809</v>
      </c>
      <c r="D26" s="84">
        <v>0</v>
      </c>
      <c r="E26" s="85">
        <f t="shared" si="16"/>
        <v>0</v>
      </c>
      <c r="F26" s="86"/>
      <c r="G26" s="87">
        <f t="shared" si="28"/>
        <v>1</v>
      </c>
      <c r="H26" s="88">
        <f t="shared" si="0"/>
        <v>1</v>
      </c>
      <c r="I26" s="84">
        <v>0</v>
      </c>
      <c r="J26" s="89">
        <v>330290.92695</v>
      </c>
      <c r="K26" s="90">
        <v>241991.72694999998</v>
      </c>
      <c r="L26" s="84">
        <v>46729.38749999999</v>
      </c>
      <c r="M26" s="84">
        <v>0</v>
      </c>
      <c r="N26" s="85">
        <f t="shared" si="18"/>
        <v>0</v>
      </c>
      <c r="O26" s="86"/>
      <c r="P26" s="87">
        <f t="shared" si="29"/>
        <v>1</v>
      </c>
      <c r="Q26" s="88">
        <f t="shared" si="2"/>
        <v>1</v>
      </c>
      <c r="R26" s="91">
        <v>0</v>
      </c>
      <c r="S26" s="84">
        <v>343824.73595</v>
      </c>
      <c r="T26" s="92">
        <v>161309.04705</v>
      </c>
      <c r="U26" s="85">
        <f t="shared" si="3"/>
        <v>0</v>
      </c>
      <c r="V26" s="86"/>
      <c r="W26" s="87">
        <f t="shared" si="30"/>
        <v>1</v>
      </c>
      <c r="X26" s="88">
        <f t="shared" si="19"/>
        <v>1</v>
      </c>
      <c r="Y26" s="84">
        <f t="shared" si="20"/>
        <v>13533.809</v>
      </c>
      <c r="Z26" s="93"/>
      <c r="AA26" s="93">
        <v>13533.809</v>
      </c>
      <c r="AB26" s="93"/>
      <c r="AC26" s="93">
        <f t="shared" si="5"/>
        <v>330290.92695</v>
      </c>
      <c r="AD26" s="93">
        <f t="shared" si="5"/>
        <v>241991.72694999998</v>
      </c>
      <c r="AE26" s="93">
        <f t="shared" si="5"/>
        <v>46729.38749999999</v>
      </c>
      <c r="AF26" s="93">
        <f t="shared" si="21"/>
        <v>41569.81250000002</v>
      </c>
      <c r="AG26" s="93">
        <f t="shared" si="34"/>
        <v>2078.4906250000013</v>
      </c>
      <c r="AH26" s="93">
        <f t="shared" si="27"/>
        <v>15612.299625</v>
      </c>
      <c r="AI26" s="94">
        <f t="shared" si="8"/>
        <v>0</v>
      </c>
      <c r="AJ26" s="86"/>
      <c r="AK26" s="96">
        <f t="shared" si="31"/>
        <v>1.5</v>
      </c>
      <c r="AL26" s="88">
        <f t="shared" si="9"/>
        <v>1.5</v>
      </c>
      <c r="AM26" s="97">
        <v>12191.8</v>
      </c>
      <c r="AN26" s="87">
        <v>12949.924</v>
      </c>
      <c r="AO26" s="98">
        <f t="shared" si="10"/>
        <v>0.9414572626063287</v>
      </c>
      <c r="AP26" s="86"/>
      <c r="AQ26" s="96">
        <f t="shared" si="32"/>
        <v>1</v>
      </c>
      <c r="AR26" s="99">
        <f t="shared" si="24"/>
        <v>1</v>
      </c>
      <c r="AS26" s="97">
        <v>29400.49</v>
      </c>
      <c r="AT26" s="87">
        <v>30692.789</v>
      </c>
      <c r="AU26" s="94">
        <f t="shared" si="25"/>
        <v>0.9578956803176147</v>
      </c>
      <c r="AV26" s="86"/>
      <c r="AW26" s="96">
        <f t="shared" si="33"/>
        <v>1</v>
      </c>
      <c r="AX26" s="99">
        <f t="shared" si="11"/>
        <v>1</v>
      </c>
      <c r="AY26" s="79" t="s">
        <v>67</v>
      </c>
      <c r="AZ26" s="80">
        <f t="shared" si="12"/>
        <v>2</v>
      </c>
      <c r="BA26" s="81">
        <f t="shared" si="13"/>
        <v>2</v>
      </c>
      <c r="BB26" s="79"/>
      <c r="BC26" s="80"/>
      <c r="BD26" s="81">
        <f t="shared" si="14"/>
        <v>0</v>
      </c>
      <c r="BE26" s="100">
        <f t="shared" si="15"/>
        <v>8.5</v>
      </c>
    </row>
    <row r="27" spans="1:57" s="7" customFormat="1" ht="12.75">
      <c r="A27" s="83" t="s">
        <v>84</v>
      </c>
      <c r="B27" s="84">
        <v>0</v>
      </c>
      <c r="C27" s="84">
        <v>3868.28592</v>
      </c>
      <c r="D27" s="84">
        <v>0</v>
      </c>
      <c r="E27" s="85">
        <f t="shared" si="16"/>
        <v>0</v>
      </c>
      <c r="F27" s="86"/>
      <c r="G27" s="87">
        <f t="shared" si="28"/>
        <v>1</v>
      </c>
      <c r="H27" s="88">
        <f t="shared" si="0"/>
        <v>1</v>
      </c>
      <c r="I27" s="84">
        <v>0</v>
      </c>
      <c r="J27" s="89">
        <v>314772.20151</v>
      </c>
      <c r="K27" s="90">
        <v>219556.20150999998</v>
      </c>
      <c r="L27" s="84">
        <v>55225.08333333333</v>
      </c>
      <c r="M27" s="84">
        <v>0</v>
      </c>
      <c r="N27" s="85">
        <f t="shared" si="18"/>
        <v>0</v>
      </c>
      <c r="O27" s="86"/>
      <c r="P27" s="87">
        <f t="shared" si="29"/>
        <v>1</v>
      </c>
      <c r="Q27" s="88">
        <f t="shared" si="2"/>
        <v>1</v>
      </c>
      <c r="R27" s="91">
        <v>0</v>
      </c>
      <c r="S27" s="84">
        <v>318640.48743</v>
      </c>
      <c r="T27" s="92">
        <v>145032.76121</v>
      </c>
      <c r="U27" s="85">
        <f t="shared" si="3"/>
        <v>0</v>
      </c>
      <c r="V27" s="86"/>
      <c r="W27" s="87">
        <f t="shared" si="30"/>
        <v>1</v>
      </c>
      <c r="X27" s="88">
        <f t="shared" si="19"/>
        <v>1</v>
      </c>
      <c r="Y27" s="84">
        <f t="shared" si="20"/>
        <v>3868.28592</v>
      </c>
      <c r="Z27" s="93"/>
      <c r="AA27" s="93">
        <v>3868.28592</v>
      </c>
      <c r="AB27" s="93"/>
      <c r="AC27" s="93">
        <f t="shared" si="5"/>
        <v>314772.20151</v>
      </c>
      <c r="AD27" s="93">
        <f t="shared" si="5"/>
        <v>219556.20150999998</v>
      </c>
      <c r="AE27" s="93">
        <f t="shared" si="5"/>
        <v>55225.08333333333</v>
      </c>
      <c r="AF27" s="93">
        <f t="shared" si="21"/>
        <v>39990.91666666667</v>
      </c>
      <c r="AG27" s="93">
        <f t="shared" si="34"/>
        <v>1999.5458333333336</v>
      </c>
      <c r="AH27" s="93">
        <f t="shared" si="27"/>
        <v>5867.831753333334</v>
      </c>
      <c r="AI27" s="94">
        <f t="shared" si="8"/>
        <v>0</v>
      </c>
      <c r="AJ27" s="86"/>
      <c r="AK27" s="96">
        <f t="shared" si="31"/>
        <v>1.5</v>
      </c>
      <c r="AL27" s="88">
        <f t="shared" si="9"/>
        <v>1.5</v>
      </c>
      <c r="AM27" s="97">
        <v>11237.086</v>
      </c>
      <c r="AN27" s="87">
        <v>13941.974</v>
      </c>
      <c r="AO27" s="98">
        <f t="shared" si="10"/>
        <v>0.8059895965951449</v>
      </c>
      <c r="AP27" s="86"/>
      <c r="AQ27" s="96">
        <f t="shared" si="32"/>
        <v>1</v>
      </c>
      <c r="AR27" s="99">
        <f t="shared" si="24"/>
        <v>1</v>
      </c>
      <c r="AS27" s="97">
        <v>27569.13</v>
      </c>
      <c r="AT27" s="87">
        <v>34602.1</v>
      </c>
      <c r="AU27" s="94">
        <f t="shared" si="25"/>
        <v>0.796747307244358</v>
      </c>
      <c r="AV27" s="86"/>
      <c r="AW27" s="96">
        <f t="shared" si="33"/>
        <v>1</v>
      </c>
      <c r="AX27" s="99">
        <f t="shared" si="11"/>
        <v>1</v>
      </c>
      <c r="AY27" s="79" t="s">
        <v>67</v>
      </c>
      <c r="AZ27" s="80">
        <f t="shared" si="12"/>
        <v>2</v>
      </c>
      <c r="BA27" s="81">
        <f t="shared" si="13"/>
        <v>2</v>
      </c>
      <c r="BB27" s="79"/>
      <c r="BC27" s="80"/>
      <c r="BD27" s="81">
        <f t="shared" si="14"/>
        <v>0</v>
      </c>
      <c r="BE27" s="100">
        <f t="shared" si="15"/>
        <v>8.5</v>
      </c>
    </row>
    <row r="28" spans="1:57" s="7" customFormat="1" ht="12.75">
      <c r="A28" s="83" t="s">
        <v>85</v>
      </c>
      <c r="B28" s="84">
        <v>0</v>
      </c>
      <c r="C28" s="84">
        <v>2768.2457200000003</v>
      </c>
      <c r="D28" s="84">
        <v>0</v>
      </c>
      <c r="E28" s="85">
        <f t="shared" si="16"/>
        <v>0</v>
      </c>
      <c r="F28" s="86"/>
      <c r="G28" s="87">
        <f t="shared" si="28"/>
        <v>1</v>
      </c>
      <c r="H28" s="88">
        <f t="shared" si="0"/>
        <v>1</v>
      </c>
      <c r="I28" s="84">
        <v>0</v>
      </c>
      <c r="J28" s="89">
        <v>210121.85586</v>
      </c>
      <c r="K28" s="90">
        <v>165449.25586</v>
      </c>
      <c r="L28" s="84">
        <v>26903.041666666664</v>
      </c>
      <c r="M28" s="84">
        <v>0</v>
      </c>
      <c r="N28" s="85">
        <f t="shared" si="18"/>
        <v>0</v>
      </c>
      <c r="O28" s="86"/>
      <c r="P28" s="87">
        <f t="shared" si="29"/>
        <v>1</v>
      </c>
      <c r="Q28" s="88">
        <f t="shared" si="2"/>
        <v>1</v>
      </c>
      <c r="R28" s="91">
        <v>0</v>
      </c>
      <c r="S28" s="84">
        <v>212890.10158000002</v>
      </c>
      <c r="T28" s="92">
        <v>95174.99171</v>
      </c>
      <c r="U28" s="85">
        <f t="shared" si="3"/>
        <v>0</v>
      </c>
      <c r="V28" s="86"/>
      <c r="W28" s="87">
        <f t="shared" si="30"/>
        <v>1</v>
      </c>
      <c r="X28" s="88">
        <f t="shared" si="19"/>
        <v>1</v>
      </c>
      <c r="Y28" s="84">
        <f t="shared" si="20"/>
        <v>2768.2457200000003</v>
      </c>
      <c r="Z28" s="93"/>
      <c r="AA28" s="93">
        <v>2768.2457200000003</v>
      </c>
      <c r="AB28" s="93"/>
      <c r="AC28" s="93">
        <f t="shared" si="5"/>
        <v>210121.85586</v>
      </c>
      <c r="AD28" s="93">
        <f t="shared" si="5"/>
        <v>165449.25586</v>
      </c>
      <c r="AE28" s="93">
        <f t="shared" si="5"/>
        <v>26903.041666666664</v>
      </c>
      <c r="AF28" s="93">
        <f t="shared" si="21"/>
        <v>17769.55833333334</v>
      </c>
      <c r="AG28" s="93">
        <f t="shared" si="34"/>
        <v>888.4779166666672</v>
      </c>
      <c r="AH28" s="93">
        <f t="shared" si="27"/>
        <v>3656.7236366666675</v>
      </c>
      <c r="AI28" s="94">
        <f t="shared" si="8"/>
        <v>0</v>
      </c>
      <c r="AJ28" s="86"/>
      <c r="AK28" s="96">
        <f t="shared" si="31"/>
        <v>1.5</v>
      </c>
      <c r="AL28" s="88">
        <f t="shared" si="9"/>
        <v>1.5</v>
      </c>
      <c r="AM28" s="97">
        <v>8818.632</v>
      </c>
      <c r="AN28" s="87">
        <v>12455.677</v>
      </c>
      <c r="AO28" s="98">
        <f t="shared" si="10"/>
        <v>0.7080010183308382</v>
      </c>
      <c r="AP28" s="86"/>
      <c r="AQ28" s="96">
        <f t="shared" si="32"/>
        <v>1</v>
      </c>
      <c r="AR28" s="99">
        <f t="shared" si="24"/>
        <v>1</v>
      </c>
      <c r="AS28" s="97">
        <v>23734.96765</v>
      </c>
      <c r="AT28" s="87">
        <v>31240.518</v>
      </c>
      <c r="AU28" s="94">
        <f t="shared" si="25"/>
        <v>0.7597494910295661</v>
      </c>
      <c r="AV28" s="86"/>
      <c r="AW28" s="96">
        <f t="shared" si="33"/>
        <v>1</v>
      </c>
      <c r="AX28" s="99">
        <f t="shared" si="11"/>
        <v>1</v>
      </c>
      <c r="AY28" s="79" t="s">
        <v>67</v>
      </c>
      <c r="AZ28" s="80">
        <f t="shared" si="12"/>
        <v>2</v>
      </c>
      <c r="BA28" s="81">
        <f t="shared" si="13"/>
        <v>2</v>
      </c>
      <c r="BB28" s="79"/>
      <c r="BC28" s="80"/>
      <c r="BD28" s="81">
        <f t="shared" si="14"/>
        <v>0</v>
      </c>
      <c r="BE28" s="100">
        <f t="shared" si="15"/>
        <v>8.5</v>
      </c>
    </row>
    <row r="29" spans="1:57" s="7" customFormat="1" ht="12.75">
      <c r="A29" s="83" t="s">
        <v>86</v>
      </c>
      <c r="B29" s="84">
        <v>0</v>
      </c>
      <c r="C29" s="84">
        <v>6834.382769999999</v>
      </c>
      <c r="D29" s="84">
        <v>0</v>
      </c>
      <c r="E29" s="85">
        <f t="shared" si="16"/>
        <v>0</v>
      </c>
      <c r="F29" s="86"/>
      <c r="G29" s="87">
        <f t="shared" si="28"/>
        <v>1</v>
      </c>
      <c r="H29" s="88">
        <f t="shared" si="0"/>
        <v>1</v>
      </c>
      <c r="I29" s="84">
        <v>0</v>
      </c>
      <c r="J29" s="89">
        <v>271601.47025</v>
      </c>
      <c r="K29" s="90">
        <v>196555.94425</v>
      </c>
      <c r="L29" s="84">
        <v>39474.871666666666</v>
      </c>
      <c r="M29" s="84">
        <v>0</v>
      </c>
      <c r="N29" s="85">
        <f t="shared" si="18"/>
        <v>0</v>
      </c>
      <c r="O29" s="86"/>
      <c r="P29" s="87">
        <f t="shared" si="29"/>
        <v>1</v>
      </c>
      <c r="Q29" s="88">
        <f t="shared" si="2"/>
        <v>1</v>
      </c>
      <c r="R29" s="91">
        <v>0</v>
      </c>
      <c r="S29" s="84">
        <v>278435.85302</v>
      </c>
      <c r="T29" s="92">
        <v>110488.24857000001</v>
      </c>
      <c r="U29" s="85">
        <f t="shared" si="3"/>
        <v>0</v>
      </c>
      <c r="V29" s="86"/>
      <c r="W29" s="87">
        <f t="shared" si="30"/>
        <v>1</v>
      </c>
      <c r="X29" s="88">
        <f t="shared" si="19"/>
        <v>1</v>
      </c>
      <c r="Y29" s="84">
        <f t="shared" si="20"/>
        <v>6834.382769999999</v>
      </c>
      <c r="Z29" s="93"/>
      <c r="AA29" s="93">
        <v>6834.382769999999</v>
      </c>
      <c r="AB29" s="93"/>
      <c r="AC29" s="93">
        <f t="shared" si="5"/>
        <v>271601.47025</v>
      </c>
      <c r="AD29" s="93">
        <f t="shared" si="5"/>
        <v>196555.94425</v>
      </c>
      <c r="AE29" s="93">
        <f t="shared" si="5"/>
        <v>39474.871666666666</v>
      </c>
      <c r="AF29" s="93">
        <f t="shared" si="21"/>
        <v>35570.65433333335</v>
      </c>
      <c r="AG29" s="93">
        <f t="shared" si="34"/>
        <v>1778.5327166666675</v>
      </c>
      <c r="AH29" s="93">
        <f t="shared" si="27"/>
        <v>8612.915486666667</v>
      </c>
      <c r="AI29" s="94">
        <f t="shared" si="8"/>
        <v>0</v>
      </c>
      <c r="AJ29" s="86"/>
      <c r="AK29" s="96">
        <f t="shared" si="31"/>
        <v>1.5</v>
      </c>
      <c r="AL29" s="88">
        <f t="shared" si="9"/>
        <v>1.5</v>
      </c>
      <c r="AM29" s="97">
        <v>11806.407</v>
      </c>
      <c r="AN29" s="87">
        <v>13941.974</v>
      </c>
      <c r="AO29" s="98">
        <f t="shared" si="10"/>
        <v>0.8468246318634649</v>
      </c>
      <c r="AP29" s="86"/>
      <c r="AQ29" s="96">
        <f t="shared" si="32"/>
        <v>1</v>
      </c>
      <c r="AR29" s="99">
        <f t="shared" si="24"/>
        <v>1</v>
      </c>
      <c r="AS29" s="97">
        <v>29379.772</v>
      </c>
      <c r="AT29" s="87">
        <v>34602.1</v>
      </c>
      <c r="AU29" s="94">
        <f t="shared" si="25"/>
        <v>0.8490748249383708</v>
      </c>
      <c r="AV29" s="86"/>
      <c r="AW29" s="96">
        <f t="shared" si="33"/>
        <v>1</v>
      </c>
      <c r="AX29" s="99">
        <f t="shared" si="11"/>
        <v>1</v>
      </c>
      <c r="AY29" s="79" t="s">
        <v>67</v>
      </c>
      <c r="AZ29" s="80">
        <f t="shared" si="12"/>
        <v>2</v>
      </c>
      <c r="BA29" s="81">
        <f t="shared" si="13"/>
        <v>2</v>
      </c>
      <c r="BB29" s="79"/>
      <c r="BC29" s="80"/>
      <c r="BD29" s="81">
        <f t="shared" si="14"/>
        <v>0</v>
      </c>
      <c r="BE29" s="100">
        <f t="shared" si="15"/>
        <v>8.5</v>
      </c>
    </row>
    <row r="30" spans="1:57" s="7" customFormat="1" ht="12.75">
      <c r="A30" s="83" t="s">
        <v>87</v>
      </c>
      <c r="B30" s="84">
        <v>0</v>
      </c>
      <c r="C30" s="84">
        <v>17179.919550000002</v>
      </c>
      <c r="D30" s="84">
        <v>0</v>
      </c>
      <c r="E30" s="85">
        <f t="shared" si="16"/>
        <v>0</v>
      </c>
      <c r="F30" s="86"/>
      <c r="G30" s="87">
        <f t="shared" si="28"/>
        <v>1</v>
      </c>
      <c r="H30" s="88">
        <f t="shared" si="0"/>
        <v>1</v>
      </c>
      <c r="I30" s="84">
        <v>0</v>
      </c>
      <c r="J30" s="89">
        <v>532097.28166</v>
      </c>
      <c r="K30" s="90">
        <v>428770.08166</v>
      </c>
      <c r="L30" s="84">
        <v>62664.74285714286</v>
      </c>
      <c r="M30" s="84">
        <v>0</v>
      </c>
      <c r="N30" s="85">
        <f t="shared" si="18"/>
        <v>0</v>
      </c>
      <c r="O30" s="86"/>
      <c r="P30" s="87">
        <f>IF(N30&lt;=0.5,1,0)</f>
        <v>1</v>
      </c>
      <c r="Q30" s="88">
        <f>O30+P30</f>
        <v>1</v>
      </c>
      <c r="R30" s="91">
        <v>0</v>
      </c>
      <c r="S30" s="84">
        <v>549277.2012100001</v>
      </c>
      <c r="T30" s="92">
        <v>208664.70440000002</v>
      </c>
      <c r="U30" s="85">
        <f t="shared" si="3"/>
        <v>0</v>
      </c>
      <c r="V30" s="86"/>
      <c r="W30" s="87">
        <f t="shared" si="30"/>
        <v>1</v>
      </c>
      <c r="X30" s="88">
        <f t="shared" si="19"/>
        <v>1</v>
      </c>
      <c r="Y30" s="84">
        <f t="shared" si="20"/>
        <v>17179.919550000002</v>
      </c>
      <c r="Z30" s="93"/>
      <c r="AA30" s="93">
        <v>17179.919550000002</v>
      </c>
      <c r="AB30" s="93"/>
      <c r="AC30" s="93">
        <f t="shared" si="5"/>
        <v>532097.28166</v>
      </c>
      <c r="AD30" s="93">
        <f t="shared" si="5"/>
        <v>428770.08166</v>
      </c>
      <c r="AE30" s="93">
        <f t="shared" si="5"/>
        <v>62664.74285714286</v>
      </c>
      <c r="AF30" s="93">
        <f t="shared" si="21"/>
        <v>40662.45714285709</v>
      </c>
      <c r="AG30" s="93">
        <f>AF30*10%</f>
        <v>4066.2457142857093</v>
      </c>
      <c r="AH30" s="93">
        <f t="shared" si="27"/>
        <v>21246.16526428571</v>
      </c>
      <c r="AI30" s="94">
        <f t="shared" si="8"/>
        <v>0</v>
      </c>
      <c r="AJ30" s="95"/>
      <c r="AK30" s="96">
        <f t="shared" si="31"/>
        <v>1.5</v>
      </c>
      <c r="AL30" s="88">
        <f t="shared" si="9"/>
        <v>1.5</v>
      </c>
      <c r="AM30" s="97">
        <v>14397.0496</v>
      </c>
      <c r="AN30" s="87">
        <v>16476.592</v>
      </c>
      <c r="AO30" s="98">
        <f t="shared" si="10"/>
        <v>0.8737880746212566</v>
      </c>
      <c r="AP30" s="95"/>
      <c r="AQ30" s="96">
        <f t="shared" si="32"/>
        <v>1</v>
      </c>
      <c r="AR30" s="99">
        <f t="shared" si="24"/>
        <v>1</v>
      </c>
      <c r="AS30" s="97">
        <v>33793.119</v>
      </c>
      <c r="AT30" s="87">
        <v>39255.114</v>
      </c>
      <c r="AU30" s="94">
        <f t="shared" si="25"/>
        <v>0.86085902081446</v>
      </c>
      <c r="AV30" s="95"/>
      <c r="AW30" s="96">
        <f t="shared" si="33"/>
        <v>1</v>
      </c>
      <c r="AX30" s="99">
        <f t="shared" si="11"/>
        <v>1</v>
      </c>
      <c r="AY30" s="79" t="s">
        <v>67</v>
      </c>
      <c r="AZ30" s="80">
        <f t="shared" si="12"/>
        <v>2</v>
      </c>
      <c r="BA30" s="81">
        <f t="shared" si="13"/>
        <v>2</v>
      </c>
      <c r="BB30" s="79"/>
      <c r="BC30" s="80"/>
      <c r="BD30" s="81">
        <f t="shared" si="14"/>
        <v>0</v>
      </c>
      <c r="BE30" s="100">
        <f t="shared" si="15"/>
        <v>8.5</v>
      </c>
    </row>
    <row r="31" spans="1:57" s="7" customFormat="1" ht="12.75">
      <c r="A31" s="83" t="s">
        <v>88</v>
      </c>
      <c r="B31" s="84">
        <v>0</v>
      </c>
      <c r="C31" s="84">
        <v>5363.82049</v>
      </c>
      <c r="D31" s="84">
        <v>0</v>
      </c>
      <c r="E31" s="85">
        <f t="shared" si="16"/>
        <v>0</v>
      </c>
      <c r="F31" s="86"/>
      <c r="G31" s="87">
        <f t="shared" si="28"/>
        <v>1</v>
      </c>
      <c r="H31" s="88">
        <f t="shared" si="0"/>
        <v>1</v>
      </c>
      <c r="I31" s="84">
        <v>0</v>
      </c>
      <c r="J31" s="89">
        <v>342811.371</v>
      </c>
      <c r="K31" s="90">
        <v>307730.739</v>
      </c>
      <c r="L31" s="84">
        <v>21834.28125</v>
      </c>
      <c r="M31" s="84">
        <v>0</v>
      </c>
      <c r="N31" s="85">
        <f t="shared" si="18"/>
        <v>0</v>
      </c>
      <c r="O31" s="86"/>
      <c r="P31" s="87">
        <f t="shared" si="29"/>
        <v>1</v>
      </c>
      <c r="Q31" s="88">
        <f t="shared" si="2"/>
        <v>1</v>
      </c>
      <c r="R31" s="91">
        <v>0</v>
      </c>
      <c r="S31" s="84">
        <v>348175.19149</v>
      </c>
      <c r="T31" s="92">
        <v>133848.83445</v>
      </c>
      <c r="U31" s="85">
        <f t="shared" si="3"/>
        <v>0</v>
      </c>
      <c r="V31" s="86"/>
      <c r="W31" s="87">
        <f t="shared" si="30"/>
        <v>1</v>
      </c>
      <c r="X31" s="88">
        <f t="shared" si="19"/>
        <v>1</v>
      </c>
      <c r="Y31" s="84">
        <f t="shared" si="20"/>
        <v>5363.82049</v>
      </c>
      <c r="Z31" s="93"/>
      <c r="AA31" s="93">
        <v>5363.82049</v>
      </c>
      <c r="AB31" s="93"/>
      <c r="AC31" s="93">
        <f t="shared" si="5"/>
        <v>342811.371</v>
      </c>
      <c r="AD31" s="93">
        <f t="shared" si="5"/>
        <v>307730.739</v>
      </c>
      <c r="AE31" s="93">
        <f t="shared" si="5"/>
        <v>21834.28125</v>
      </c>
      <c r="AF31" s="93">
        <f t="shared" si="21"/>
        <v>13246.350749999983</v>
      </c>
      <c r="AG31" s="93">
        <f t="shared" si="34"/>
        <v>662.3175374999992</v>
      </c>
      <c r="AH31" s="93">
        <f t="shared" si="27"/>
        <v>6026.138027499999</v>
      </c>
      <c r="AI31" s="94">
        <f t="shared" si="8"/>
        <v>0</v>
      </c>
      <c r="AJ31" s="86"/>
      <c r="AK31" s="96">
        <f t="shared" si="31"/>
        <v>1.5</v>
      </c>
      <c r="AL31" s="88">
        <f t="shared" si="9"/>
        <v>1.5</v>
      </c>
      <c r="AM31" s="97">
        <v>8961.82004</v>
      </c>
      <c r="AN31" s="87">
        <v>11463.627</v>
      </c>
      <c r="AO31" s="98">
        <f t="shared" si="10"/>
        <v>0.7817613081793398</v>
      </c>
      <c r="AP31" s="86"/>
      <c r="AQ31" s="96">
        <f t="shared" si="32"/>
        <v>1</v>
      </c>
      <c r="AR31" s="99">
        <f t="shared" si="24"/>
        <v>1</v>
      </c>
      <c r="AS31" s="97">
        <v>21107.41366</v>
      </c>
      <c r="AT31" s="87">
        <v>27331.207</v>
      </c>
      <c r="AU31" s="94">
        <f t="shared" si="25"/>
        <v>0.7722825289055109</v>
      </c>
      <c r="AV31" s="86"/>
      <c r="AW31" s="96">
        <f t="shared" si="33"/>
        <v>1</v>
      </c>
      <c r="AX31" s="99">
        <f t="shared" si="11"/>
        <v>1</v>
      </c>
      <c r="AY31" s="79" t="s">
        <v>67</v>
      </c>
      <c r="AZ31" s="80">
        <f t="shared" si="12"/>
        <v>2</v>
      </c>
      <c r="BA31" s="81">
        <f t="shared" si="13"/>
        <v>2</v>
      </c>
      <c r="BB31" s="79"/>
      <c r="BC31" s="80"/>
      <c r="BD31" s="81">
        <f t="shared" si="14"/>
        <v>0</v>
      </c>
      <c r="BE31" s="100">
        <f t="shared" si="15"/>
        <v>8.5</v>
      </c>
    </row>
    <row r="32" spans="1:57" s="7" customFormat="1" ht="12.75">
      <c r="A32" s="83" t="s">
        <v>89</v>
      </c>
      <c r="B32" s="84">
        <v>0</v>
      </c>
      <c r="C32" s="84">
        <v>4660.56259</v>
      </c>
      <c r="D32" s="84">
        <v>0</v>
      </c>
      <c r="E32" s="85">
        <f t="shared" si="16"/>
        <v>0</v>
      </c>
      <c r="F32" s="86"/>
      <c r="G32" s="87">
        <f t="shared" si="28"/>
        <v>1</v>
      </c>
      <c r="H32" s="88">
        <f t="shared" si="0"/>
        <v>1</v>
      </c>
      <c r="I32" s="84">
        <v>0</v>
      </c>
      <c r="J32" s="89">
        <v>492026.40649</v>
      </c>
      <c r="K32" s="90">
        <v>349384.67862</v>
      </c>
      <c r="L32" s="84">
        <v>95314.97521014085</v>
      </c>
      <c r="M32" s="84">
        <v>0</v>
      </c>
      <c r="N32" s="85">
        <f t="shared" si="18"/>
        <v>0</v>
      </c>
      <c r="O32" s="86"/>
      <c r="P32" s="87">
        <f t="shared" si="29"/>
        <v>1</v>
      </c>
      <c r="Q32" s="88">
        <f t="shared" si="2"/>
        <v>1</v>
      </c>
      <c r="R32" s="91">
        <v>0</v>
      </c>
      <c r="S32" s="84">
        <v>496686.96908</v>
      </c>
      <c r="T32" s="92">
        <v>222851.14673999997</v>
      </c>
      <c r="U32" s="85">
        <f t="shared" si="3"/>
        <v>0</v>
      </c>
      <c r="V32" s="86"/>
      <c r="W32" s="87">
        <f t="shared" si="30"/>
        <v>1</v>
      </c>
      <c r="X32" s="88">
        <f t="shared" si="19"/>
        <v>1</v>
      </c>
      <c r="Y32" s="84">
        <f t="shared" si="20"/>
        <v>4660.56259</v>
      </c>
      <c r="Z32" s="93"/>
      <c r="AA32" s="93">
        <v>4660.56259</v>
      </c>
      <c r="AB32" s="93"/>
      <c r="AC32" s="93">
        <f t="shared" si="5"/>
        <v>492026.40649</v>
      </c>
      <c r="AD32" s="93">
        <f t="shared" si="5"/>
        <v>349384.67862</v>
      </c>
      <c r="AE32" s="93">
        <f t="shared" si="5"/>
        <v>95314.97521014085</v>
      </c>
      <c r="AF32" s="93">
        <f t="shared" si="21"/>
        <v>47326.75265985915</v>
      </c>
      <c r="AG32" s="93">
        <f t="shared" si="34"/>
        <v>2366.3376329929574</v>
      </c>
      <c r="AH32" s="93">
        <f t="shared" si="27"/>
        <v>7026.900222992957</v>
      </c>
      <c r="AI32" s="94">
        <f t="shared" si="8"/>
        <v>0</v>
      </c>
      <c r="AJ32" s="86"/>
      <c r="AK32" s="96">
        <f t="shared" si="31"/>
        <v>1.5</v>
      </c>
      <c r="AL32" s="88">
        <f t="shared" si="9"/>
        <v>1.5</v>
      </c>
      <c r="AM32" s="97">
        <v>14051.086</v>
      </c>
      <c r="AN32" s="87">
        <v>16476.592</v>
      </c>
      <c r="AO32" s="98">
        <f>AM32/AN32</f>
        <v>0.8527907955722882</v>
      </c>
      <c r="AP32" s="86"/>
      <c r="AQ32" s="96">
        <f t="shared" si="32"/>
        <v>1</v>
      </c>
      <c r="AR32" s="99">
        <f t="shared" si="24"/>
        <v>1</v>
      </c>
      <c r="AS32" s="97">
        <v>34450.43</v>
      </c>
      <c r="AT32" s="87">
        <v>39255.114</v>
      </c>
      <c r="AU32" s="94">
        <f t="shared" si="25"/>
        <v>0.8776036161810662</v>
      </c>
      <c r="AV32" s="86"/>
      <c r="AW32" s="96">
        <f t="shared" si="33"/>
        <v>1</v>
      </c>
      <c r="AX32" s="99">
        <f t="shared" si="11"/>
        <v>1</v>
      </c>
      <c r="AY32" s="79" t="s">
        <v>67</v>
      </c>
      <c r="AZ32" s="80">
        <f t="shared" si="12"/>
        <v>2</v>
      </c>
      <c r="BA32" s="81">
        <f t="shared" si="13"/>
        <v>2</v>
      </c>
      <c r="BB32" s="79"/>
      <c r="BC32" s="80"/>
      <c r="BD32" s="81">
        <f t="shared" si="14"/>
        <v>0</v>
      </c>
      <c r="BE32" s="100">
        <f t="shared" si="15"/>
        <v>8.5</v>
      </c>
    </row>
    <row r="33" spans="1:57" s="7" customFormat="1" ht="12.75">
      <c r="A33" s="83" t="s">
        <v>90</v>
      </c>
      <c r="B33" s="84">
        <v>0</v>
      </c>
      <c r="C33" s="84">
        <v>21131.46777</v>
      </c>
      <c r="D33" s="84">
        <v>0</v>
      </c>
      <c r="E33" s="85">
        <f>IF(AND(B33=0,D33=0),0,B33/(IF(C33&gt;0,C33,0)+D33))</f>
        <v>0</v>
      </c>
      <c r="F33" s="86"/>
      <c r="G33" s="87">
        <f t="shared" si="28"/>
        <v>1</v>
      </c>
      <c r="H33" s="88">
        <f>F33+G33</f>
        <v>1</v>
      </c>
      <c r="I33" s="84">
        <v>0</v>
      </c>
      <c r="J33" s="89">
        <v>631839.09848</v>
      </c>
      <c r="K33" s="90">
        <v>496999.09848000004</v>
      </c>
      <c r="L33" s="84">
        <v>81193.23333333332</v>
      </c>
      <c r="M33" s="84">
        <v>0</v>
      </c>
      <c r="N33" s="85">
        <f>(I33-M33)/(J33-K33-L33)</f>
        <v>0</v>
      </c>
      <c r="O33" s="86"/>
      <c r="P33" s="87">
        <f t="shared" si="29"/>
        <v>1</v>
      </c>
      <c r="Q33" s="88">
        <f>O33+P33</f>
        <v>1</v>
      </c>
      <c r="R33" s="91">
        <v>0</v>
      </c>
      <c r="S33" s="84">
        <v>652970.56625</v>
      </c>
      <c r="T33" s="92">
        <v>319548.16815000004</v>
      </c>
      <c r="U33" s="85">
        <f>R33/(S33-T33)</f>
        <v>0</v>
      </c>
      <c r="V33" s="86"/>
      <c r="W33" s="87">
        <f t="shared" si="30"/>
        <v>1</v>
      </c>
      <c r="X33" s="88">
        <f t="shared" si="19"/>
        <v>1</v>
      </c>
      <c r="Y33" s="84">
        <f t="shared" si="20"/>
        <v>21131.46777</v>
      </c>
      <c r="Z33" s="93"/>
      <c r="AA33" s="93">
        <v>21131.46777</v>
      </c>
      <c r="AB33" s="93"/>
      <c r="AC33" s="93">
        <f t="shared" si="5"/>
        <v>631839.09848</v>
      </c>
      <c r="AD33" s="93">
        <f t="shared" si="5"/>
        <v>496999.09848000004</v>
      </c>
      <c r="AE33" s="93">
        <f t="shared" si="5"/>
        <v>81193.23333333332</v>
      </c>
      <c r="AF33" s="93">
        <f>AC33-AD33-AE33</f>
        <v>53646.76666666668</v>
      </c>
      <c r="AG33" s="93">
        <f>AF33*10%</f>
        <v>5364.676666666668</v>
      </c>
      <c r="AH33" s="93">
        <f>IF(AA33&gt;0,AA33,0)+AG33+IF(AB33&gt;0,AB33,0)</f>
        <v>26496.14443666667</v>
      </c>
      <c r="AI33" s="94">
        <f t="shared" si="8"/>
        <v>0</v>
      </c>
      <c r="AJ33" s="95"/>
      <c r="AK33" s="96">
        <f t="shared" si="31"/>
        <v>1.5</v>
      </c>
      <c r="AL33" s="88">
        <f>AJ33+AK33</f>
        <v>1.5</v>
      </c>
      <c r="AM33" s="97">
        <v>17571.359</v>
      </c>
      <c r="AN33" s="87">
        <v>19855.388</v>
      </c>
      <c r="AO33" s="98">
        <f>AM33/AN33</f>
        <v>0.8849667908781235</v>
      </c>
      <c r="AP33" s="95"/>
      <c r="AQ33" s="96">
        <f t="shared" si="32"/>
        <v>1</v>
      </c>
      <c r="AR33" s="99">
        <f>AP33+AQ33</f>
        <v>1</v>
      </c>
      <c r="AS33" s="97">
        <v>41443.46</v>
      </c>
      <c r="AT33" s="87">
        <v>45573.536</v>
      </c>
      <c r="AU33" s="94">
        <f t="shared" si="25"/>
        <v>0.9093755639237648</v>
      </c>
      <c r="AV33" s="95"/>
      <c r="AW33" s="96">
        <f t="shared" si="33"/>
        <v>1</v>
      </c>
      <c r="AX33" s="99">
        <f t="shared" si="11"/>
        <v>1</v>
      </c>
      <c r="AY33" s="79" t="s">
        <v>67</v>
      </c>
      <c r="AZ33" s="80">
        <f t="shared" si="12"/>
        <v>2</v>
      </c>
      <c r="BA33" s="81">
        <f t="shared" si="13"/>
        <v>2</v>
      </c>
      <c r="BB33" s="79"/>
      <c r="BC33" s="80"/>
      <c r="BD33" s="81">
        <f t="shared" si="14"/>
        <v>0</v>
      </c>
      <c r="BE33" s="100">
        <f t="shared" si="15"/>
        <v>8.5</v>
      </c>
    </row>
    <row r="34" spans="1:57" s="7" customFormat="1" ht="12.75">
      <c r="A34" s="83" t="s">
        <v>91</v>
      </c>
      <c r="B34" s="84">
        <v>0</v>
      </c>
      <c r="C34" s="84">
        <v>6091.80269</v>
      </c>
      <c r="D34" s="84">
        <v>0</v>
      </c>
      <c r="E34" s="85">
        <f t="shared" si="16"/>
        <v>0</v>
      </c>
      <c r="F34" s="86"/>
      <c r="G34" s="87">
        <f t="shared" si="28"/>
        <v>1</v>
      </c>
      <c r="H34" s="88">
        <f t="shared" si="0"/>
        <v>1</v>
      </c>
      <c r="I34" s="84">
        <v>0</v>
      </c>
      <c r="J34" s="89">
        <v>152589.22224</v>
      </c>
      <c r="K34" s="90">
        <v>111370.22223999999</v>
      </c>
      <c r="L34" s="84">
        <v>22281.83620689655</v>
      </c>
      <c r="M34" s="84">
        <v>0</v>
      </c>
      <c r="N34" s="85">
        <f t="shared" si="18"/>
        <v>0</v>
      </c>
      <c r="O34" s="86"/>
      <c r="P34" s="87">
        <f t="shared" si="29"/>
        <v>1</v>
      </c>
      <c r="Q34" s="88">
        <f t="shared" si="2"/>
        <v>1</v>
      </c>
      <c r="R34" s="91">
        <v>0</v>
      </c>
      <c r="S34" s="84">
        <v>158681.02493</v>
      </c>
      <c r="T34" s="92">
        <v>69255.58024000001</v>
      </c>
      <c r="U34" s="85">
        <f t="shared" si="3"/>
        <v>0</v>
      </c>
      <c r="V34" s="86"/>
      <c r="W34" s="87">
        <f t="shared" si="30"/>
        <v>1</v>
      </c>
      <c r="X34" s="88">
        <f t="shared" si="19"/>
        <v>1</v>
      </c>
      <c r="Y34" s="84">
        <f t="shared" si="20"/>
        <v>6091.80269</v>
      </c>
      <c r="Z34" s="93"/>
      <c r="AA34" s="93">
        <v>6091.80269</v>
      </c>
      <c r="AB34" s="93"/>
      <c r="AC34" s="93">
        <f t="shared" si="5"/>
        <v>152589.22224</v>
      </c>
      <c r="AD34" s="93">
        <f t="shared" si="5"/>
        <v>111370.22223999999</v>
      </c>
      <c r="AE34" s="93">
        <f t="shared" si="5"/>
        <v>22281.83620689655</v>
      </c>
      <c r="AF34" s="93">
        <f t="shared" si="21"/>
        <v>18937.163793103464</v>
      </c>
      <c r="AG34" s="93">
        <f aca="true" t="shared" si="35" ref="AG34:AG39">AF34*5%</f>
        <v>946.8581896551732</v>
      </c>
      <c r="AH34" s="93">
        <f t="shared" si="27"/>
        <v>7038.660879655174</v>
      </c>
      <c r="AI34" s="94">
        <f t="shared" si="8"/>
        <v>0</v>
      </c>
      <c r="AJ34" s="95"/>
      <c r="AK34" s="96">
        <f t="shared" si="31"/>
        <v>1.5</v>
      </c>
      <c r="AL34" s="88">
        <f t="shared" si="9"/>
        <v>1.5</v>
      </c>
      <c r="AM34" s="97">
        <v>7751.2</v>
      </c>
      <c r="AN34" s="87">
        <v>11425.258</v>
      </c>
      <c r="AO34" s="98">
        <f t="shared" si="10"/>
        <v>0.6784266928589271</v>
      </c>
      <c r="AP34" s="95"/>
      <c r="AQ34" s="96">
        <f t="shared" si="32"/>
        <v>1</v>
      </c>
      <c r="AR34" s="99">
        <f>AP34+AQ34</f>
        <v>1</v>
      </c>
      <c r="AS34" s="97">
        <v>21890.443</v>
      </c>
      <c r="AT34" s="87">
        <v>28937.664</v>
      </c>
      <c r="AU34" s="94">
        <f t="shared" si="25"/>
        <v>0.7564689050228794</v>
      </c>
      <c r="AV34" s="95"/>
      <c r="AW34" s="96">
        <f t="shared" si="33"/>
        <v>1</v>
      </c>
      <c r="AX34" s="99">
        <f t="shared" si="11"/>
        <v>1</v>
      </c>
      <c r="AY34" s="79" t="s">
        <v>67</v>
      </c>
      <c r="AZ34" s="80">
        <f t="shared" si="12"/>
        <v>2</v>
      </c>
      <c r="BA34" s="81">
        <f t="shared" si="13"/>
        <v>2</v>
      </c>
      <c r="BB34" s="79"/>
      <c r="BC34" s="80"/>
      <c r="BD34" s="81">
        <f t="shared" si="14"/>
        <v>0</v>
      </c>
      <c r="BE34" s="100">
        <f t="shared" si="15"/>
        <v>8.5</v>
      </c>
    </row>
    <row r="35" spans="1:57" s="7" customFormat="1" ht="12.75">
      <c r="A35" s="83" t="s">
        <v>92</v>
      </c>
      <c r="B35" s="84">
        <v>0</v>
      </c>
      <c r="C35" s="84">
        <v>1785.69897</v>
      </c>
      <c r="D35" s="84">
        <v>0</v>
      </c>
      <c r="E35" s="85">
        <f>IF(AND(B35=0,D35=0),0,B35/(IF(C35&gt;0,C35,0)+D35))</f>
        <v>0</v>
      </c>
      <c r="F35" s="86"/>
      <c r="G35" s="87">
        <f>IF(E35&lt;=1.05,1,0)</f>
        <v>1</v>
      </c>
      <c r="H35" s="88">
        <f>F35+G35</f>
        <v>1</v>
      </c>
      <c r="I35" s="84">
        <v>0</v>
      </c>
      <c r="J35" s="89">
        <v>433953.74369</v>
      </c>
      <c r="K35" s="90">
        <v>359983.44369</v>
      </c>
      <c r="L35" s="84">
        <v>39374.92857142857</v>
      </c>
      <c r="M35" s="84">
        <v>0</v>
      </c>
      <c r="N35" s="85">
        <f>(I35-M35)/(J35-K35-L35)</f>
        <v>0</v>
      </c>
      <c r="O35" s="86"/>
      <c r="P35" s="87">
        <f>IF(N35&lt;=0.5,1,0)</f>
        <v>1</v>
      </c>
      <c r="Q35" s="88">
        <f>O35+P35</f>
        <v>1</v>
      </c>
      <c r="R35" s="91">
        <v>0</v>
      </c>
      <c r="S35" s="84">
        <v>435739.44266</v>
      </c>
      <c r="T35" s="92">
        <v>119653.71214</v>
      </c>
      <c r="U35" s="85">
        <f>R35/(S35-T35)</f>
        <v>0</v>
      </c>
      <c r="V35" s="86"/>
      <c r="W35" s="87">
        <f>IF(U35&lt;=0.15,1,0)</f>
        <v>1</v>
      </c>
      <c r="X35" s="88">
        <f>V35+W35</f>
        <v>1</v>
      </c>
      <c r="Y35" s="84">
        <f t="shared" si="20"/>
        <v>1785.69897</v>
      </c>
      <c r="Z35" s="93"/>
      <c r="AA35" s="93">
        <v>1785.69897</v>
      </c>
      <c r="AB35" s="93"/>
      <c r="AC35" s="93">
        <f>J35</f>
        <v>433953.74369</v>
      </c>
      <c r="AD35" s="93">
        <f>K35</f>
        <v>359983.44369</v>
      </c>
      <c r="AE35" s="93">
        <f>L35</f>
        <v>39374.92857142857</v>
      </c>
      <c r="AF35" s="93">
        <f>AC35-AD35-AE35</f>
        <v>34595.371428571416</v>
      </c>
      <c r="AG35" s="93">
        <f>AF35*5%</f>
        <v>1729.7685714285708</v>
      </c>
      <c r="AH35" s="93">
        <f>IF(AA35&gt;0,AA35,0)+AG35+IF(AB35&gt;0,AB35,0)</f>
        <v>3515.4675414285707</v>
      </c>
      <c r="AI35" s="94">
        <f>IF((Y35-IF(Z35&gt;0,Z35,0)-IF(AA35&gt;0,AA35,0)-IF(AB35&gt;0,AB35,0))/(AC35-AD35-AE35)&gt;0,(Y35-IF(Z35&gt;0,Z35,0)-IF(AA35&gt;0,AA35,0)-IF(AB35&gt;0,AB35,0))/(AC35-AD35-AE35),0)</f>
        <v>0</v>
      </c>
      <c r="AJ35" s="95"/>
      <c r="AK35" s="96">
        <f>IF(AI35&lt;=0.05,1.5,0)</f>
        <v>1.5</v>
      </c>
      <c r="AL35" s="88">
        <f>AJ35+AK35</f>
        <v>1.5</v>
      </c>
      <c r="AM35" s="97">
        <v>12402.614</v>
      </c>
      <c r="AN35" s="87">
        <v>13941.974</v>
      </c>
      <c r="AO35" s="98">
        <f>AM35/AN35</f>
        <v>0.8895880884586357</v>
      </c>
      <c r="AP35" s="95"/>
      <c r="AQ35" s="96">
        <f>IF(AO35&lt;=1,1,0)</f>
        <v>1</v>
      </c>
      <c r="AR35" s="99">
        <f>AP35+AQ35</f>
        <v>1</v>
      </c>
      <c r="AS35" s="97">
        <v>28980.451</v>
      </c>
      <c r="AT35" s="87">
        <v>34602.1</v>
      </c>
      <c r="AU35" s="94">
        <f>AS35/AT35</f>
        <v>0.8375344560012254</v>
      </c>
      <c r="AV35" s="95"/>
      <c r="AW35" s="96">
        <f>IF(AU35&lt;=1,1,0)</f>
        <v>1</v>
      </c>
      <c r="AX35" s="99">
        <f>AV35+AW35</f>
        <v>1</v>
      </c>
      <c r="AY35" s="79" t="s">
        <v>67</v>
      </c>
      <c r="AZ35" s="80">
        <f t="shared" si="12"/>
        <v>2</v>
      </c>
      <c r="BA35" s="81">
        <f t="shared" si="13"/>
        <v>2</v>
      </c>
      <c r="BB35" s="79"/>
      <c r="BC35" s="80"/>
      <c r="BD35" s="81">
        <f t="shared" si="14"/>
        <v>0</v>
      </c>
      <c r="BE35" s="100">
        <f t="shared" si="15"/>
        <v>8.5</v>
      </c>
    </row>
    <row r="36" spans="1:57" s="7" customFormat="1" ht="12.75">
      <c r="A36" s="107" t="s">
        <v>93</v>
      </c>
      <c r="B36" s="57">
        <v>0</v>
      </c>
      <c r="C36" s="57">
        <v>23186.749</v>
      </c>
      <c r="D36" s="57">
        <v>0</v>
      </c>
      <c r="E36" s="65">
        <f t="shared" si="16"/>
        <v>0</v>
      </c>
      <c r="F36" s="102">
        <f>IF(E36&lt;=1.05,1,0)</f>
        <v>1</v>
      </c>
      <c r="G36" s="73"/>
      <c r="H36" s="74">
        <f t="shared" si="0"/>
        <v>1</v>
      </c>
      <c r="I36" s="57">
        <v>0</v>
      </c>
      <c r="J36" s="63">
        <v>390755.95568</v>
      </c>
      <c r="K36" s="64">
        <v>269759.34642</v>
      </c>
      <c r="L36" s="57">
        <v>56788.545454545456</v>
      </c>
      <c r="M36" s="57">
        <v>0</v>
      </c>
      <c r="N36" s="65">
        <f t="shared" si="18"/>
        <v>0</v>
      </c>
      <c r="O36" s="102">
        <f>IF(N36&lt;=1,1,0)</f>
        <v>1</v>
      </c>
      <c r="P36" s="73"/>
      <c r="Q36" s="74">
        <f t="shared" si="2"/>
        <v>1</v>
      </c>
      <c r="R36" s="103">
        <v>0</v>
      </c>
      <c r="S36" s="57">
        <v>413942.70468</v>
      </c>
      <c r="T36" s="67">
        <v>157156.79064000002</v>
      </c>
      <c r="U36" s="65">
        <f t="shared" si="3"/>
        <v>0</v>
      </c>
      <c r="V36" s="102">
        <f>IF(U36&lt;=0.15,1,0)</f>
        <v>1</v>
      </c>
      <c r="W36" s="73"/>
      <c r="X36" s="74">
        <f t="shared" si="19"/>
        <v>1</v>
      </c>
      <c r="Y36" s="57">
        <f t="shared" si="20"/>
        <v>23186.749</v>
      </c>
      <c r="Z36" s="69"/>
      <c r="AA36" s="69">
        <v>23186.749</v>
      </c>
      <c r="AB36" s="69"/>
      <c r="AC36" s="69">
        <f t="shared" si="5"/>
        <v>390755.95568</v>
      </c>
      <c r="AD36" s="69">
        <f t="shared" si="5"/>
        <v>269759.34642</v>
      </c>
      <c r="AE36" s="69">
        <f t="shared" si="5"/>
        <v>56788.545454545456</v>
      </c>
      <c r="AF36" s="69">
        <f t="shared" si="21"/>
        <v>64208.06380545454</v>
      </c>
      <c r="AG36" s="69">
        <f t="shared" si="35"/>
        <v>3210.4031902727274</v>
      </c>
      <c r="AH36" s="69">
        <f t="shared" si="27"/>
        <v>26397.152190272725</v>
      </c>
      <c r="AI36" s="106">
        <f t="shared" si="8"/>
        <v>0</v>
      </c>
      <c r="AJ36" s="72">
        <f>IF(AI36&lt;=0.1,1.5,0)</f>
        <v>1.5</v>
      </c>
      <c r="AK36" s="108"/>
      <c r="AL36" s="74">
        <f t="shared" si="9"/>
        <v>1.5</v>
      </c>
      <c r="AM36" s="75">
        <v>11795.962</v>
      </c>
      <c r="AN36" s="73">
        <v>12949.924</v>
      </c>
      <c r="AO36" s="105">
        <f t="shared" si="10"/>
        <v>0.9108904422913987</v>
      </c>
      <c r="AP36" s="72">
        <f>IF(AO36&lt;=1,1,0)</f>
        <v>1</v>
      </c>
      <c r="AQ36" s="108"/>
      <c r="AR36" s="109">
        <f t="shared" si="24"/>
        <v>1</v>
      </c>
      <c r="AS36" s="75">
        <v>29362.484</v>
      </c>
      <c r="AT36" s="73">
        <v>30692.789</v>
      </c>
      <c r="AU36" s="106">
        <f t="shared" si="25"/>
        <v>0.9566574090090021</v>
      </c>
      <c r="AV36" s="72">
        <f>IF(AU36&lt;=1,1,0)</f>
        <v>1</v>
      </c>
      <c r="AW36" s="108"/>
      <c r="AX36" s="109">
        <f t="shared" si="11"/>
        <v>1</v>
      </c>
      <c r="AY36" s="79" t="s">
        <v>67</v>
      </c>
      <c r="AZ36" s="80">
        <f t="shared" si="12"/>
        <v>2</v>
      </c>
      <c r="BA36" s="81">
        <f t="shared" si="13"/>
        <v>2</v>
      </c>
      <c r="BB36" s="79"/>
      <c r="BC36" s="80"/>
      <c r="BD36" s="81">
        <f t="shared" si="14"/>
        <v>0</v>
      </c>
      <c r="BE36" s="104">
        <f t="shared" si="15"/>
        <v>8.5</v>
      </c>
    </row>
    <row r="37" spans="1:57" s="7" customFormat="1" ht="12.75">
      <c r="A37" s="83" t="s">
        <v>94</v>
      </c>
      <c r="B37" s="84">
        <v>0</v>
      </c>
      <c r="C37" s="84">
        <v>9927.17667</v>
      </c>
      <c r="D37" s="84">
        <v>0</v>
      </c>
      <c r="E37" s="85">
        <f t="shared" si="16"/>
        <v>0</v>
      </c>
      <c r="F37" s="86"/>
      <c r="G37" s="87">
        <f t="shared" si="28"/>
        <v>1</v>
      </c>
      <c r="H37" s="88">
        <f t="shared" si="0"/>
        <v>1</v>
      </c>
      <c r="I37" s="84">
        <v>0</v>
      </c>
      <c r="J37" s="89">
        <v>270473.71304</v>
      </c>
      <c r="K37" s="90">
        <v>176912.49503999998</v>
      </c>
      <c r="L37" s="84">
        <v>49894.45217391304</v>
      </c>
      <c r="M37" s="84">
        <v>0</v>
      </c>
      <c r="N37" s="85">
        <f t="shared" si="18"/>
        <v>0</v>
      </c>
      <c r="O37" s="86"/>
      <c r="P37" s="87">
        <f t="shared" si="29"/>
        <v>1</v>
      </c>
      <c r="Q37" s="88">
        <f t="shared" si="2"/>
        <v>1</v>
      </c>
      <c r="R37" s="91">
        <v>0</v>
      </c>
      <c r="S37" s="84">
        <v>280400.88970999996</v>
      </c>
      <c r="T37" s="92">
        <v>107488.47575</v>
      </c>
      <c r="U37" s="85">
        <f t="shared" si="3"/>
        <v>0</v>
      </c>
      <c r="V37" s="86"/>
      <c r="W37" s="87">
        <f t="shared" si="30"/>
        <v>1</v>
      </c>
      <c r="X37" s="88">
        <f t="shared" si="19"/>
        <v>1</v>
      </c>
      <c r="Y37" s="84">
        <f t="shared" si="20"/>
        <v>9927.17667</v>
      </c>
      <c r="Z37" s="93"/>
      <c r="AA37" s="93">
        <v>9927.17667</v>
      </c>
      <c r="AB37" s="93"/>
      <c r="AC37" s="93">
        <f t="shared" si="5"/>
        <v>270473.71304</v>
      </c>
      <c r="AD37" s="93">
        <f t="shared" si="5"/>
        <v>176912.49503999998</v>
      </c>
      <c r="AE37" s="93">
        <f t="shared" si="5"/>
        <v>49894.45217391304</v>
      </c>
      <c r="AF37" s="93">
        <f t="shared" si="21"/>
        <v>43666.76582608698</v>
      </c>
      <c r="AG37" s="93">
        <f t="shared" si="35"/>
        <v>2183.3382913043492</v>
      </c>
      <c r="AH37" s="93">
        <f t="shared" si="27"/>
        <v>12110.51496130435</v>
      </c>
      <c r="AI37" s="94">
        <f t="shared" si="8"/>
        <v>0</v>
      </c>
      <c r="AJ37" s="86"/>
      <c r="AK37" s="96">
        <f>IF(AI37&lt;=0.05,1.5,0)</f>
        <v>1.5</v>
      </c>
      <c r="AL37" s="88">
        <f t="shared" si="9"/>
        <v>1.5</v>
      </c>
      <c r="AM37" s="97">
        <v>10851.65508</v>
      </c>
      <c r="AN37" s="87">
        <v>13941.974</v>
      </c>
      <c r="AO37" s="98">
        <f t="shared" si="10"/>
        <v>0.7783442344678021</v>
      </c>
      <c r="AP37" s="86"/>
      <c r="AQ37" s="96">
        <f>IF(AO37&lt;=1,1,0)</f>
        <v>1</v>
      </c>
      <c r="AR37" s="99">
        <f t="shared" si="24"/>
        <v>1</v>
      </c>
      <c r="AS37" s="97">
        <v>29806.89148</v>
      </c>
      <c r="AT37" s="87">
        <v>34602.1</v>
      </c>
      <c r="AU37" s="94">
        <f t="shared" si="25"/>
        <v>0.8614185693931871</v>
      </c>
      <c r="AV37" s="86"/>
      <c r="AW37" s="96">
        <f>IF(AU37&lt;=1,1,0)</f>
        <v>1</v>
      </c>
      <c r="AX37" s="99">
        <f t="shared" si="11"/>
        <v>1</v>
      </c>
      <c r="AY37" s="79" t="s">
        <v>67</v>
      </c>
      <c r="AZ37" s="80">
        <f t="shared" si="12"/>
        <v>2</v>
      </c>
      <c r="BA37" s="81">
        <f t="shared" si="13"/>
        <v>2</v>
      </c>
      <c r="BB37" s="79"/>
      <c r="BC37" s="80"/>
      <c r="BD37" s="81">
        <f t="shared" si="14"/>
        <v>0</v>
      </c>
      <c r="BE37" s="100">
        <f t="shared" si="15"/>
        <v>8.5</v>
      </c>
    </row>
    <row r="38" spans="1:57" s="7" customFormat="1" ht="12.75">
      <c r="A38" s="83" t="s">
        <v>95</v>
      </c>
      <c r="B38" s="84">
        <v>0</v>
      </c>
      <c r="C38" s="84">
        <v>12134.27899</v>
      </c>
      <c r="D38" s="84">
        <v>0</v>
      </c>
      <c r="E38" s="85">
        <f t="shared" si="16"/>
        <v>0</v>
      </c>
      <c r="F38" s="86"/>
      <c r="G38" s="87">
        <f t="shared" si="28"/>
        <v>1</v>
      </c>
      <c r="H38" s="88">
        <f t="shared" si="0"/>
        <v>1</v>
      </c>
      <c r="I38" s="84">
        <v>0</v>
      </c>
      <c r="J38" s="89">
        <v>461825.28382</v>
      </c>
      <c r="K38" s="90">
        <v>354972.30382</v>
      </c>
      <c r="L38" s="84">
        <v>63288.905660377364</v>
      </c>
      <c r="M38" s="84">
        <v>0</v>
      </c>
      <c r="N38" s="85">
        <f t="shared" si="18"/>
        <v>0</v>
      </c>
      <c r="O38" s="86"/>
      <c r="P38" s="87">
        <f t="shared" si="29"/>
        <v>1</v>
      </c>
      <c r="Q38" s="88">
        <f t="shared" si="2"/>
        <v>1</v>
      </c>
      <c r="R38" s="91">
        <v>0</v>
      </c>
      <c r="S38" s="84">
        <v>473959.56281</v>
      </c>
      <c r="T38" s="92">
        <v>187229.44712</v>
      </c>
      <c r="U38" s="85">
        <f t="shared" si="3"/>
        <v>0</v>
      </c>
      <c r="V38" s="86"/>
      <c r="W38" s="87">
        <f t="shared" si="30"/>
        <v>1</v>
      </c>
      <c r="X38" s="88">
        <f t="shared" si="19"/>
        <v>1</v>
      </c>
      <c r="Y38" s="84">
        <f t="shared" si="20"/>
        <v>12134.27899</v>
      </c>
      <c r="Z38" s="93"/>
      <c r="AA38" s="93">
        <v>12134.27899</v>
      </c>
      <c r="AB38" s="93"/>
      <c r="AC38" s="93">
        <f t="shared" si="5"/>
        <v>461825.28382</v>
      </c>
      <c r="AD38" s="93">
        <f t="shared" si="5"/>
        <v>354972.30382</v>
      </c>
      <c r="AE38" s="93">
        <f t="shared" si="5"/>
        <v>63288.905660377364</v>
      </c>
      <c r="AF38" s="93">
        <f t="shared" si="21"/>
        <v>43564.074339622675</v>
      </c>
      <c r="AG38" s="93">
        <f t="shared" si="35"/>
        <v>2178.2037169811338</v>
      </c>
      <c r="AH38" s="93">
        <f t="shared" si="27"/>
        <v>14312.482706981134</v>
      </c>
      <c r="AI38" s="94">
        <f t="shared" si="8"/>
        <v>0</v>
      </c>
      <c r="AJ38" s="86"/>
      <c r="AK38" s="96">
        <f>IF(AI38&lt;=0.05,1.5,0)</f>
        <v>1.5</v>
      </c>
      <c r="AL38" s="88">
        <f t="shared" si="9"/>
        <v>1.5</v>
      </c>
      <c r="AM38" s="97">
        <v>13501.517</v>
      </c>
      <c r="AN38" s="87">
        <v>16476.592</v>
      </c>
      <c r="AO38" s="98">
        <f t="shared" si="10"/>
        <v>0.8194362644896469</v>
      </c>
      <c r="AP38" s="86"/>
      <c r="AQ38" s="96">
        <f>IF(AO38&lt;=1,1,0)</f>
        <v>1</v>
      </c>
      <c r="AR38" s="99">
        <f t="shared" si="24"/>
        <v>1</v>
      </c>
      <c r="AS38" s="97">
        <v>34909.8049</v>
      </c>
      <c r="AT38" s="87">
        <v>39255.114</v>
      </c>
      <c r="AU38" s="94">
        <f t="shared" si="25"/>
        <v>0.8893059105623793</v>
      </c>
      <c r="AV38" s="86"/>
      <c r="AW38" s="96">
        <f>IF(AU38&lt;=1,1,0)</f>
        <v>1</v>
      </c>
      <c r="AX38" s="99">
        <f t="shared" si="11"/>
        <v>1</v>
      </c>
      <c r="AY38" s="79" t="s">
        <v>67</v>
      </c>
      <c r="AZ38" s="80">
        <f t="shared" si="12"/>
        <v>2</v>
      </c>
      <c r="BA38" s="81">
        <f t="shared" si="13"/>
        <v>2</v>
      </c>
      <c r="BB38" s="79"/>
      <c r="BC38" s="80"/>
      <c r="BD38" s="81">
        <f t="shared" si="14"/>
        <v>0</v>
      </c>
      <c r="BE38" s="100">
        <f t="shared" si="15"/>
        <v>8.5</v>
      </c>
    </row>
    <row r="39" spans="1:57" ht="12.75">
      <c r="A39" s="83" t="s">
        <v>96</v>
      </c>
      <c r="B39" s="84">
        <v>4000</v>
      </c>
      <c r="C39" s="84">
        <v>3627.81108</v>
      </c>
      <c r="D39" s="84">
        <v>5000</v>
      </c>
      <c r="E39" s="85">
        <f t="shared" si="16"/>
        <v>0.46361701281016</v>
      </c>
      <c r="F39" s="86"/>
      <c r="G39" s="87">
        <f t="shared" si="28"/>
        <v>1</v>
      </c>
      <c r="H39" s="88">
        <f>F39+G39</f>
        <v>1</v>
      </c>
      <c r="I39" s="84">
        <v>4000</v>
      </c>
      <c r="J39" s="89">
        <v>585921.32088</v>
      </c>
      <c r="K39" s="90">
        <v>466568.02087999997</v>
      </c>
      <c r="L39" s="84">
        <v>68207.04545454546</v>
      </c>
      <c r="M39" s="84">
        <v>0</v>
      </c>
      <c r="N39" s="85">
        <f t="shared" si="18"/>
        <v>0.07820709523206883</v>
      </c>
      <c r="O39" s="86"/>
      <c r="P39" s="87">
        <f t="shared" si="29"/>
        <v>1</v>
      </c>
      <c r="Q39" s="88">
        <f>O39+P39</f>
        <v>1</v>
      </c>
      <c r="R39" s="91">
        <v>602.64</v>
      </c>
      <c r="S39" s="84">
        <v>589549.13196</v>
      </c>
      <c r="T39" s="92">
        <v>196917.88852</v>
      </c>
      <c r="U39" s="85">
        <f t="shared" si="3"/>
        <v>0.0015348753062034211</v>
      </c>
      <c r="V39" s="86"/>
      <c r="W39" s="87">
        <f t="shared" si="30"/>
        <v>1</v>
      </c>
      <c r="X39" s="88">
        <f t="shared" si="19"/>
        <v>1</v>
      </c>
      <c r="Y39" s="84">
        <f t="shared" si="20"/>
        <v>3627.81108</v>
      </c>
      <c r="Z39" s="93"/>
      <c r="AA39" s="93">
        <v>4627.81108</v>
      </c>
      <c r="AB39" s="93"/>
      <c r="AC39" s="93">
        <f t="shared" si="5"/>
        <v>585921.32088</v>
      </c>
      <c r="AD39" s="93">
        <f t="shared" si="5"/>
        <v>466568.02087999997</v>
      </c>
      <c r="AE39" s="93">
        <f t="shared" si="5"/>
        <v>68207.04545454546</v>
      </c>
      <c r="AF39" s="93">
        <f t="shared" si="21"/>
        <v>51146.25454545459</v>
      </c>
      <c r="AG39" s="93">
        <f t="shared" si="35"/>
        <v>2557.3127272727297</v>
      </c>
      <c r="AH39" s="93">
        <f t="shared" si="27"/>
        <v>7185.12380727273</v>
      </c>
      <c r="AI39" s="94">
        <f t="shared" si="8"/>
        <v>0</v>
      </c>
      <c r="AJ39" s="95"/>
      <c r="AK39" s="96">
        <f>IF(AI39&lt;=0.05,1.5,0)</f>
        <v>1.5</v>
      </c>
      <c r="AL39" s="88">
        <f t="shared" si="9"/>
        <v>1.5</v>
      </c>
      <c r="AM39" s="97">
        <v>17336.37092</v>
      </c>
      <c r="AN39" s="87">
        <v>19855.388</v>
      </c>
      <c r="AO39" s="98">
        <f t="shared" si="10"/>
        <v>0.8731318128862554</v>
      </c>
      <c r="AP39" s="95"/>
      <c r="AQ39" s="96">
        <f>IF(AO39&lt;=1,1,0)</f>
        <v>1</v>
      </c>
      <c r="AR39" s="99">
        <f>AP39+AQ39</f>
        <v>1</v>
      </c>
      <c r="AS39" s="97">
        <v>36666.30195</v>
      </c>
      <c r="AT39" s="87">
        <v>45573.536</v>
      </c>
      <c r="AU39" s="94">
        <f t="shared" si="25"/>
        <v>0.8045524918233249</v>
      </c>
      <c r="AV39" s="95"/>
      <c r="AW39" s="96">
        <f>IF(AU39&lt;=1,1,0)</f>
        <v>1</v>
      </c>
      <c r="AX39" s="99">
        <f t="shared" si="11"/>
        <v>1</v>
      </c>
      <c r="AY39" s="79" t="s">
        <v>67</v>
      </c>
      <c r="AZ39" s="80">
        <f t="shared" si="12"/>
        <v>2</v>
      </c>
      <c r="BA39" s="81">
        <f t="shared" si="13"/>
        <v>2</v>
      </c>
      <c r="BB39" s="79"/>
      <c r="BC39" s="80"/>
      <c r="BD39" s="81">
        <f t="shared" si="14"/>
        <v>0</v>
      </c>
      <c r="BE39" s="100">
        <f t="shared" si="15"/>
        <v>8.5</v>
      </c>
    </row>
    <row r="40" spans="1:57" ht="12.75">
      <c r="A40" s="83" t="s">
        <v>97</v>
      </c>
      <c r="B40" s="84">
        <v>0</v>
      </c>
      <c r="C40" s="84">
        <v>10675.76241</v>
      </c>
      <c r="D40" s="84">
        <v>0</v>
      </c>
      <c r="E40" s="85">
        <f t="shared" si="16"/>
        <v>0</v>
      </c>
      <c r="F40" s="86"/>
      <c r="G40" s="87">
        <f>IF(E40&lt;=1.05,1,0)</f>
        <v>1</v>
      </c>
      <c r="H40" s="88">
        <f t="shared" si="0"/>
        <v>1</v>
      </c>
      <c r="I40" s="84">
        <v>0</v>
      </c>
      <c r="J40" s="89">
        <v>612678.17333</v>
      </c>
      <c r="K40" s="90">
        <v>424977.17332999996</v>
      </c>
      <c r="L40" s="84">
        <v>109858.86956521739</v>
      </c>
      <c r="M40" s="84">
        <v>0</v>
      </c>
      <c r="N40" s="85">
        <f t="shared" si="18"/>
        <v>0</v>
      </c>
      <c r="O40" s="86"/>
      <c r="P40" s="87">
        <f>IF(N40&lt;=0.5,1,0)</f>
        <v>1</v>
      </c>
      <c r="Q40" s="88">
        <f t="shared" si="2"/>
        <v>1</v>
      </c>
      <c r="R40" s="91">
        <v>0</v>
      </c>
      <c r="S40" s="84">
        <v>623353.93574</v>
      </c>
      <c r="T40" s="92">
        <v>291974.98144999996</v>
      </c>
      <c r="U40" s="85">
        <f t="shared" si="3"/>
        <v>0</v>
      </c>
      <c r="V40" s="86"/>
      <c r="W40" s="87">
        <f>IF(U40&lt;=0.15,1,0)</f>
        <v>1</v>
      </c>
      <c r="X40" s="88">
        <f t="shared" si="19"/>
        <v>1</v>
      </c>
      <c r="Y40" s="84">
        <f t="shared" si="20"/>
        <v>10675.76241</v>
      </c>
      <c r="Z40" s="93"/>
      <c r="AA40" s="93">
        <v>10675.76241</v>
      </c>
      <c r="AB40" s="93"/>
      <c r="AC40" s="93">
        <f t="shared" si="5"/>
        <v>612678.17333</v>
      </c>
      <c r="AD40" s="93">
        <f t="shared" si="5"/>
        <v>424977.17332999996</v>
      </c>
      <c r="AE40" s="93">
        <f t="shared" si="5"/>
        <v>109858.86956521739</v>
      </c>
      <c r="AF40" s="93">
        <f t="shared" si="21"/>
        <v>77842.13043478267</v>
      </c>
      <c r="AG40" s="93">
        <f>AF40*10%</f>
        <v>7784.213043478267</v>
      </c>
      <c r="AH40" s="93">
        <f t="shared" si="27"/>
        <v>18459.975453478266</v>
      </c>
      <c r="AI40" s="94">
        <f t="shared" si="8"/>
        <v>0</v>
      </c>
      <c r="AJ40" s="86"/>
      <c r="AK40" s="96">
        <f>IF(AI40&lt;=0.05,1.5,0)</f>
        <v>1.5</v>
      </c>
      <c r="AL40" s="88">
        <f t="shared" si="9"/>
        <v>1.5</v>
      </c>
      <c r="AM40" s="97">
        <v>17748.958</v>
      </c>
      <c r="AN40" s="87">
        <v>19855.388</v>
      </c>
      <c r="AO40" s="98">
        <f t="shared" si="10"/>
        <v>0.8939114158836886</v>
      </c>
      <c r="AP40" s="86"/>
      <c r="AQ40" s="96">
        <f>IF(AO40&lt;=1,1,0)</f>
        <v>1</v>
      </c>
      <c r="AR40" s="99">
        <f>AP40+AQ40</f>
        <v>1</v>
      </c>
      <c r="AS40" s="97">
        <v>40203.66</v>
      </c>
      <c r="AT40" s="87">
        <v>45573.536</v>
      </c>
      <c r="AU40" s="94">
        <f t="shared" si="25"/>
        <v>0.8821711793440826</v>
      </c>
      <c r="AV40" s="86"/>
      <c r="AW40" s="96">
        <f>IF(AU40&lt;=1,1,0)</f>
        <v>1</v>
      </c>
      <c r="AX40" s="99">
        <f t="shared" si="11"/>
        <v>1</v>
      </c>
      <c r="AY40" s="79" t="s">
        <v>67</v>
      </c>
      <c r="AZ40" s="80">
        <f t="shared" si="12"/>
        <v>2</v>
      </c>
      <c r="BA40" s="81">
        <f t="shared" si="13"/>
        <v>2</v>
      </c>
      <c r="BB40" s="79"/>
      <c r="BC40" s="80"/>
      <c r="BD40" s="81">
        <f t="shared" si="14"/>
        <v>0</v>
      </c>
      <c r="BE40" s="100">
        <f t="shared" si="15"/>
        <v>8.5</v>
      </c>
    </row>
    <row r="41" spans="1:57" ht="12.75">
      <c r="A41" s="101" t="s">
        <v>98</v>
      </c>
      <c r="B41" s="111">
        <v>20500</v>
      </c>
      <c r="C41" s="111">
        <v>1551.23299</v>
      </c>
      <c r="D41" s="111">
        <v>22000</v>
      </c>
      <c r="E41" s="65">
        <f>IF(AND(B41=0,D41=0),0,B41/(IF(C41&gt;0,C41,0)+D41))</f>
        <v>0.8704427495878635</v>
      </c>
      <c r="F41" s="59">
        <f>IF(E41&lt;=1.05,1,0)</f>
        <v>1</v>
      </c>
      <c r="G41" s="60"/>
      <c r="H41" s="61">
        <f>F41+G41</f>
        <v>1</v>
      </c>
      <c r="I41" s="111">
        <v>20500</v>
      </c>
      <c r="J41" s="112">
        <v>239565.64552000002</v>
      </c>
      <c r="K41" s="64">
        <v>157295.63852</v>
      </c>
      <c r="L41" s="111">
        <v>31726.127659574468</v>
      </c>
      <c r="M41" s="111">
        <v>0</v>
      </c>
      <c r="N41" s="65">
        <f>(I41-M41)/(J41-K41-L41)</f>
        <v>0.4055881793703927</v>
      </c>
      <c r="O41" s="59">
        <f>IF(N41&lt;=1,1,0)</f>
        <v>1</v>
      </c>
      <c r="P41" s="60"/>
      <c r="Q41" s="61">
        <f>O41+P41</f>
        <v>1</v>
      </c>
      <c r="R41" s="113">
        <v>1915.6</v>
      </c>
      <c r="S41" s="111">
        <v>241116.87850999998</v>
      </c>
      <c r="T41" s="67">
        <v>84881.21048</v>
      </c>
      <c r="U41" s="58">
        <f>R41/(S41-T41)</f>
        <v>0.012260964632174588</v>
      </c>
      <c r="V41" s="59">
        <f>IF(U41&lt;=0.15,1,0)</f>
        <v>1</v>
      </c>
      <c r="W41" s="60"/>
      <c r="X41" s="61">
        <f>V41+W41</f>
        <v>1</v>
      </c>
      <c r="Y41" s="111">
        <f>C41</f>
        <v>1551.23299</v>
      </c>
      <c r="Z41" s="70"/>
      <c r="AA41" s="70">
        <v>3051.2329900000004</v>
      </c>
      <c r="AB41" s="70"/>
      <c r="AC41" s="70">
        <f t="shared" si="5"/>
        <v>239565.64552000002</v>
      </c>
      <c r="AD41" s="70">
        <f t="shared" si="5"/>
        <v>157295.63852</v>
      </c>
      <c r="AE41" s="70">
        <f t="shared" si="5"/>
        <v>31726.127659574468</v>
      </c>
      <c r="AF41" s="70">
        <f>AC41-AD41-AE41</f>
        <v>50543.87934042554</v>
      </c>
      <c r="AG41" s="70">
        <f>AF41*10%</f>
        <v>5054.387934042555</v>
      </c>
      <c r="AH41" s="70">
        <f t="shared" si="27"/>
        <v>8105.620924042555</v>
      </c>
      <c r="AI41" s="114">
        <f>IF((Y41-IF(Z41&gt;0,Z41,0)-IF(AA41&gt;0,AA41,0)-IF(AB41&gt;0,AB41,0))/(AC41-AD41-AE41)&gt;0,(Y41-IF(Z41&gt;0,Z41,0)-IF(AA41&gt;0,AA41,0)-IF(AB41&gt;0,AB41,0))/(AC41-AD41-AE41),0)</f>
        <v>0</v>
      </c>
      <c r="AJ41" s="72">
        <f>IF(AI41&lt;=0.1,1.5,0)</f>
        <v>1.5</v>
      </c>
      <c r="AK41" s="60"/>
      <c r="AL41" s="61">
        <f>AJ41+AK41</f>
        <v>1.5</v>
      </c>
      <c r="AM41" s="115">
        <v>7596.632</v>
      </c>
      <c r="AN41" s="60">
        <v>10889.2</v>
      </c>
      <c r="AO41" s="76">
        <f>AM41/AN41</f>
        <v>0.6976299452668698</v>
      </c>
      <c r="AP41" s="77">
        <f>IF(AO41&lt;=1,1,0)</f>
        <v>1</v>
      </c>
      <c r="AQ41" s="60"/>
      <c r="AR41" s="78">
        <f>AP41+AQ41</f>
        <v>1</v>
      </c>
      <c r="AS41" s="115">
        <v>20283.70038</v>
      </c>
      <c r="AT41" s="60">
        <v>26367.808</v>
      </c>
      <c r="AU41" s="71">
        <f>AS41/AT41</f>
        <v>0.7692600150911292</v>
      </c>
      <c r="AV41" s="77">
        <f>IF(AU41&lt;=1,1,0)</f>
        <v>1</v>
      </c>
      <c r="AW41" s="60"/>
      <c r="AX41" s="78">
        <f>AV41+AW41</f>
        <v>1</v>
      </c>
      <c r="AY41" s="79" t="s">
        <v>67</v>
      </c>
      <c r="AZ41" s="80">
        <f t="shared" si="12"/>
        <v>2</v>
      </c>
      <c r="BA41" s="81">
        <f t="shared" si="13"/>
        <v>2</v>
      </c>
      <c r="BB41" s="79"/>
      <c r="BC41" s="80"/>
      <c r="BD41" s="81">
        <f t="shared" si="14"/>
        <v>0</v>
      </c>
      <c r="BE41" s="116">
        <f t="shared" si="15"/>
        <v>8.5</v>
      </c>
    </row>
    <row r="42" spans="1:57" ht="13.5" thickBot="1">
      <c r="A42" s="101" t="s">
        <v>99</v>
      </c>
      <c r="B42" s="111">
        <v>5899.54268</v>
      </c>
      <c r="C42" s="111">
        <v>513.66424</v>
      </c>
      <c r="D42" s="111">
        <v>7000</v>
      </c>
      <c r="E42" s="58">
        <f>IF(AND(B42=0,D42=0),0,B42/(IF(C42&gt;0,C42,0)+D42))</f>
        <v>0.7851751810512096</v>
      </c>
      <c r="F42" s="59">
        <f>IF(E42&lt;=1.05,1,0)</f>
        <v>1</v>
      </c>
      <c r="G42" s="60"/>
      <c r="H42" s="61">
        <f>F42+G42</f>
        <v>1</v>
      </c>
      <c r="I42" s="111">
        <v>31372.32</v>
      </c>
      <c r="J42" s="112">
        <v>369220.52096</v>
      </c>
      <c r="K42" s="64">
        <v>244799.20796</v>
      </c>
      <c r="L42" s="111">
        <v>35512.69102941176</v>
      </c>
      <c r="M42" s="111">
        <v>0</v>
      </c>
      <c r="N42" s="58">
        <f>(I42-M42)/(J42-K42-L42)</f>
        <v>0.35286026601984954</v>
      </c>
      <c r="O42" s="59">
        <f>IF(N42&lt;=1,1,0)</f>
        <v>1</v>
      </c>
      <c r="P42" s="60"/>
      <c r="Q42" s="61">
        <f>O42+P42</f>
        <v>1</v>
      </c>
      <c r="R42" s="117">
        <v>2658.6</v>
      </c>
      <c r="S42" s="111">
        <v>369734.1852</v>
      </c>
      <c r="T42" s="67">
        <v>140406.39993</v>
      </c>
      <c r="U42" s="58">
        <f>R42/(S42-T42)</f>
        <v>0.011593013017894394</v>
      </c>
      <c r="V42" s="59">
        <f>IF(U42&lt;=0.15,1,0)</f>
        <v>1</v>
      </c>
      <c r="W42" s="60"/>
      <c r="X42" s="61">
        <f>V42+W42</f>
        <v>1</v>
      </c>
      <c r="Y42" s="111">
        <f>C42</f>
        <v>513.66424</v>
      </c>
      <c r="Z42" s="70"/>
      <c r="AA42" s="70">
        <v>1614.12156</v>
      </c>
      <c r="AB42" s="70"/>
      <c r="AC42" s="70">
        <f t="shared" si="5"/>
        <v>369220.52096</v>
      </c>
      <c r="AD42" s="70">
        <f t="shared" si="5"/>
        <v>244799.20796</v>
      </c>
      <c r="AE42" s="70">
        <f t="shared" si="5"/>
        <v>35512.69102941176</v>
      </c>
      <c r="AF42" s="70">
        <f>AC42-AD42-AE42</f>
        <v>88908.62197058822</v>
      </c>
      <c r="AG42" s="70">
        <f>AF42*10%</f>
        <v>8890.862197058823</v>
      </c>
      <c r="AH42" s="70">
        <f t="shared" si="27"/>
        <v>10504.983757058822</v>
      </c>
      <c r="AI42" s="106">
        <f>IF((Y42-IF(Z42&gt;0,Z42,0)-IF(AA42&gt;0,AA42,0)-IF(AB42&gt;0,AB42,0))/(AC42-AD42-AE42)&gt;0,(Y42-IF(Z42&gt;0,Z42,0)-IF(AA42&gt;0,AA42,0)-IF(AB42&gt;0,AB42,0))/(AC42-AD42-AE42),0)</f>
        <v>0</v>
      </c>
      <c r="AJ42" s="72">
        <f>IF(AI42&lt;=0.1,1.5,0)</f>
        <v>1.5</v>
      </c>
      <c r="AK42" s="60"/>
      <c r="AL42" s="61">
        <f>AJ42+AK42</f>
        <v>1.5</v>
      </c>
      <c r="AM42" s="115">
        <v>7545.086</v>
      </c>
      <c r="AN42" s="60">
        <v>10889.2</v>
      </c>
      <c r="AO42" s="76">
        <f>AM42/AN42</f>
        <v>0.6928962641883701</v>
      </c>
      <c r="AP42" s="77">
        <f>IF(AO42&lt;=1,1,0)</f>
        <v>1</v>
      </c>
      <c r="AQ42" s="60"/>
      <c r="AR42" s="78">
        <f>AP42+AQ42</f>
        <v>1</v>
      </c>
      <c r="AS42" s="115">
        <v>21496.39208</v>
      </c>
      <c r="AT42" s="60">
        <v>26367.808</v>
      </c>
      <c r="AU42" s="71">
        <f>AS42/AT42</f>
        <v>0.815251388359624</v>
      </c>
      <c r="AV42" s="77">
        <f>IF(AU42&lt;=1,1,0)</f>
        <v>1</v>
      </c>
      <c r="AW42" s="60"/>
      <c r="AX42" s="78">
        <f>AV42+AW42</f>
        <v>1</v>
      </c>
      <c r="AY42" s="79" t="s">
        <v>67</v>
      </c>
      <c r="AZ42" s="80">
        <f t="shared" si="12"/>
        <v>2</v>
      </c>
      <c r="BA42" s="81">
        <f t="shared" si="13"/>
        <v>2</v>
      </c>
      <c r="BB42" s="79"/>
      <c r="BC42" s="80"/>
      <c r="BD42" s="81">
        <f t="shared" si="14"/>
        <v>0</v>
      </c>
      <c r="BE42" s="104">
        <f t="shared" si="15"/>
        <v>8.5</v>
      </c>
    </row>
    <row r="43" spans="1:57" ht="14.25" thickBot="1" thickTop="1">
      <c r="A43" s="118" t="s">
        <v>100</v>
      </c>
      <c r="B43" s="119">
        <f>SUM(B10:B42)</f>
        <v>2639716.56217</v>
      </c>
      <c r="C43" s="119">
        <f>SUM(C10:C42)</f>
        <v>593644.0092</v>
      </c>
      <c r="D43" s="119">
        <f>SUM(D10:D42)</f>
        <v>2442898</v>
      </c>
      <c r="E43" s="120"/>
      <c r="F43" s="120"/>
      <c r="G43" s="120"/>
      <c r="H43" s="121"/>
      <c r="I43" s="120">
        <f>SUM(I10:I42)</f>
        <v>2666821.6199999996</v>
      </c>
      <c r="J43" s="120">
        <f>SUM(J10:J42)</f>
        <v>25469856.519880008</v>
      </c>
      <c r="K43" s="120">
        <f>SUM(K10:K42)</f>
        <v>18435231.245719995</v>
      </c>
      <c r="L43" s="120">
        <f>SUM(L10:L42)</f>
        <v>2260440.8769127363</v>
      </c>
      <c r="M43" s="120">
        <f>SUM(M10:M42)</f>
        <v>0</v>
      </c>
      <c r="N43" s="120"/>
      <c r="O43" s="120"/>
      <c r="P43" s="120"/>
      <c r="Q43" s="121"/>
      <c r="R43" s="122">
        <f>SUM(R10:R42)</f>
        <v>201265.44000000003</v>
      </c>
      <c r="S43" s="120">
        <f>SUM(S10:S42)</f>
        <v>26063500.529080003</v>
      </c>
      <c r="T43" s="120">
        <f>SUM(T10:T42)</f>
        <v>9158877.474740004</v>
      </c>
      <c r="U43" s="120"/>
      <c r="V43" s="120"/>
      <c r="W43" s="120"/>
      <c r="X43" s="121"/>
      <c r="Y43" s="123">
        <f aca="true" t="shared" si="36" ref="Y43:AE43">SUM(Y10:Y42)</f>
        <v>593644.0092</v>
      </c>
      <c r="Z43" s="124">
        <f t="shared" si="36"/>
        <v>0</v>
      </c>
      <c r="AA43" s="124">
        <f t="shared" si="36"/>
        <v>396825.44703000016</v>
      </c>
      <c r="AB43" s="124">
        <f t="shared" si="36"/>
        <v>0</v>
      </c>
      <c r="AC43" s="124">
        <f t="shared" si="36"/>
        <v>25469856.519880008</v>
      </c>
      <c r="AD43" s="124">
        <f t="shared" si="36"/>
        <v>18435231.245719995</v>
      </c>
      <c r="AE43" s="124">
        <f t="shared" si="36"/>
        <v>2260440.8769127363</v>
      </c>
      <c r="AF43" s="123"/>
      <c r="AG43" s="123"/>
      <c r="AH43" s="123"/>
      <c r="AI43" s="120"/>
      <c r="AJ43" s="120"/>
      <c r="AK43" s="120"/>
      <c r="AL43" s="120"/>
      <c r="AM43" s="124">
        <f>SUM(AM10:AM42)</f>
        <v>662933.8434600001</v>
      </c>
      <c r="AN43" s="124">
        <f>SUM(AN10:AN42)</f>
        <v>814551.649</v>
      </c>
      <c r="AO43" s="120"/>
      <c r="AP43" s="120"/>
      <c r="AQ43" s="120"/>
      <c r="AR43" s="120"/>
      <c r="AS43" s="124">
        <f>SUM(AS10:AS42)</f>
        <v>1477736.4947899997</v>
      </c>
      <c r="AT43" s="124">
        <f>SUM(AT10:AT42)</f>
        <v>1786975.7170000009</v>
      </c>
      <c r="AU43" s="120"/>
      <c r="AV43" s="120"/>
      <c r="AW43" s="120"/>
      <c r="AX43" s="120"/>
      <c r="AY43" s="125"/>
      <c r="AZ43" s="126"/>
      <c r="BA43" s="127"/>
      <c r="BB43" s="125"/>
      <c r="BC43" s="126"/>
      <c r="BD43" s="127"/>
      <c r="BE43" s="128"/>
    </row>
    <row r="44" ht="13.5" thickTop="1"/>
  </sheetData>
  <sheetProtection/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2019-07-19T13:06:57Z</dcterms:created>
  <dcterms:modified xsi:type="dcterms:W3CDTF">2019-07-22T06:25:34Z</dcterms:modified>
  <cp:category/>
  <cp:version/>
  <cp:contentType/>
  <cp:contentStatus/>
</cp:coreProperties>
</file>