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70" windowWidth="18900" windowHeight="10395" tabRatio="772" activeTab="0"/>
  </bookViews>
  <sheets>
    <sheet name="за 1 кв." sheetId="1" r:id="rId1"/>
  </sheets>
  <definedNames>
    <definedName name="_xlfn.BAHTTEXT" hidden="1">#NAME?</definedName>
    <definedName name="_xlnm.Print_Titles" localSheetId="0">'за 1 кв.'!$A:$A</definedName>
    <definedName name="_xlnm.Print_Area" localSheetId="0">'за 1 кв.'!$A$1:$AY$43</definedName>
  </definedNames>
  <calcPr fullCalcOnLoad="1"/>
</workbook>
</file>

<file path=xl/sharedStrings.xml><?xml version="1.0" encoding="utf-8"?>
<sst xmlns="http://schemas.openxmlformats.org/spreadsheetml/2006/main" count="132" uniqueCount="95">
  <si>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</si>
  <si>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</si>
  <si>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</si>
  <si>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</si>
  <si>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</si>
  <si>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</si>
  <si>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</si>
  <si>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</si>
  <si>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</si>
  <si>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</si>
  <si>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</si>
  <si>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</si>
  <si>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</si>
  <si>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</si>
  <si>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</si>
  <si>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</si>
  <si>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</si>
  <si>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</si>
  <si>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</si>
  <si>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</si>
  <si>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</si>
  <si>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</si>
  <si>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</si>
  <si>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</si>
  <si>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</si>
  <si>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</si>
  <si>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</si>
  <si>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</si>
  <si>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</si>
  <si>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</si>
  <si>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</si>
  <si>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</si>
  <si>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</si>
  <si>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</si>
  <si>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Аi</t>
  </si>
  <si>
    <t>Бi</t>
  </si>
  <si>
    <t>Вi</t>
  </si>
  <si>
    <t>Нормативное значение</t>
  </si>
  <si>
    <t>Удельный вес индикатора</t>
  </si>
  <si>
    <t>≤0,05</t>
  </si>
  <si>
    <t>тыс.руб.</t>
  </si>
  <si>
    <t>P1</t>
  </si>
  <si>
    <t>P2</t>
  </si>
  <si>
    <t>P3</t>
  </si>
  <si>
    <t>P4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</si>
  <si>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</si>
  <si>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</si>
  <si>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</si>
  <si>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</si>
  <si>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</si>
  <si>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</si>
  <si>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</si>
  <si>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</si>
  <si>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</si>
  <si>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</si>
  <si>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</si>
  <si>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</si>
  <si>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</si>
  <si>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</si>
  <si>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</si>
  <si>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</si>
  <si>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</si>
  <si>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</si>
  <si>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</si>
  <si>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налоговых поступлений по дополнительным нормативам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</si>
  <si>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</si>
  <si>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</si>
  <si>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</si>
  <si>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</si>
  <si>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</si>
  <si>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</si>
  <si>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</si>
  <si>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</si>
  <si>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</si>
  <si>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</si>
  <si>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</si>
  <si>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</si>
  <si>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</si>
  <si>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</si>
  <si>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</si>
  <si>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</si>
  <si>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</si>
  <si>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</si>
  <si>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</si>
  <si>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</si>
  <si>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</si>
  <si>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</si>
  <si>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</si>
  <si>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Задолженность по бюджетным кредитам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</si>
  <si>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</si>
  <si>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</si>
  <si>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</si>
  <si>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</si>
  <si>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01.04.2018</t>
  </si>
  <si>
    <t>P5.1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</si>
</sst>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#,##0_ ;[Red]\-#,##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_ ;[Red]\-0\ "/>
    <numFmt numFmtId="175" formatCode="0.0_ ;[Red]\-0.0\ "/>
    <numFmt numFmtId="176" formatCode="#,##0.0_ ;[Red]\-#,##0.0\ "/>
    <numFmt numFmtId="177" formatCode="#,##0.00_ ;[Red]\-#,##0.00\ "/>
    <numFmt numFmtId="178" formatCode="0.00_ ;[Red]\-0.00\ "/>
    <numFmt numFmtId="179" formatCode="_-* #,##0.0_р_._-;\-* #,##0.0_р_._-;_-* &quot;-&quot;?_р_._-;_-@_-"/>
    <numFmt numFmtId="180" formatCode="#,##0.00_ ;\-#,##0.00\ "/>
    <numFmt numFmtId="181" formatCode="#,##0.000_ ;\-#,##0.000\ "/>
    <numFmt numFmtId="182" formatCode="#,##0.0_ ;\-#,##0.0\ "/>
    <numFmt numFmtId="183" formatCode="#,##0_ ;\-#,##0\ "/>
    <numFmt numFmtId="184" formatCode="#,##0.000_ ;[Red]\-#,##0.000\ "/>
    <numFmt numFmtId="185" formatCode="#,##0.00000"/>
    <numFmt numFmtId="186" formatCode="#,##0.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00000000_ ;[Red]\-#,##0.000000000\ "/>
    <numFmt numFmtId="199" formatCode="#,##0.0000_ ;\-#,##0.0000\ "/>
    <numFmt numFmtId="200" formatCode="0.0%"/>
    <numFmt numFmtId="201" formatCode="_-* #,##0.000_р_._-;\-* #,##0.000_р_._-;_-* &quot;-&quot;??_р_._-;_-@_-"/>
    <numFmt numFmtId="202" formatCode="_-* #,##0.0000_р_._-;\-* #,##0.00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64" fontId="1" fillId="0" borderId="13" xfId="62" applyNumberFormat="1" applyFont="1" applyBorder="1" applyAlignment="1">
      <alignment/>
    </xf>
    <xf numFmtId="164" fontId="1" fillId="0" borderId="10" xfId="62" applyNumberFormat="1" applyFont="1" applyBorder="1" applyAlignment="1">
      <alignment/>
    </xf>
    <xf numFmtId="164" fontId="3" fillId="23" borderId="14" xfId="62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3" borderId="17" xfId="0" applyFont="1" applyFill="1" applyBorder="1" applyAlignment="1">
      <alignment horizontal="center"/>
    </xf>
    <xf numFmtId="164" fontId="3" fillId="23" borderId="18" xfId="62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23" borderId="21" xfId="0" applyFont="1" applyFill="1" applyBorder="1" applyAlignment="1">
      <alignment horizontal="center"/>
    </xf>
    <xf numFmtId="164" fontId="3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23" borderId="26" xfId="0" applyFont="1" applyFill="1" applyBorder="1" applyAlignment="1">
      <alignment horizontal="center"/>
    </xf>
    <xf numFmtId="164" fontId="1" fillId="0" borderId="27" xfId="62" applyNumberFormat="1" applyFont="1" applyBorder="1" applyAlignment="1">
      <alignment/>
    </xf>
    <xf numFmtId="164" fontId="3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 wrapText="1"/>
    </xf>
    <xf numFmtId="166" fontId="3" fillId="0" borderId="29" xfId="62" applyNumberFormat="1" applyFont="1" applyBorder="1" applyAlignment="1">
      <alignment/>
    </xf>
    <xf numFmtId="166" fontId="3" fillId="23" borderId="28" xfId="62" applyNumberFormat="1" applyFont="1" applyFill="1" applyBorder="1" applyAlignment="1">
      <alignment horizontal="center"/>
    </xf>
    <xf numFmtId="166" fontId="1" fillId="0" borderId="13" xfId="62" applyNumberFormat="1" applyFont="1" applyBorder="1" applyAlignment="1">
      <alignment/>
    </xf>
    <xf numFmtId="166" fontId="1" fillId="0" borderId="13" xfId="62" applyNumberFormat="1" applyFont="1" applyFill="1" applyBorder="1" applyAlignment="1">
      <alignment/>
    </xf>
    <xf numFmtId="176" fontId="1" fillId="0" borderId="27" xfId="62" applyNumberFormat="1" applyFont="1" applyFill="1" applyBorder="1" applyAlignment="1">
      <alignment/>
    </xf>
    <xf numFmtId="176" fontId="1" fillId="0" borderId="10" xfId="62" applyNumberFormat="1" applyFont="1" applyFill="1" applyBorder="1" applyAlignment="1">
      <alignment/>
    </xf>
    <xf numFmtId="164" fontId="1" fillId="0" borderId="13" xfId="62" applyNumberFormat="1" applyFont="1" applyFill="1" applyBorder="1" applyAlignment="1">
      <alignment/>
    </xf>
    <xf numFmtId="176" fontId="1" fillId="0" borderId="30" xfId="62" applyNumberFormat="1" applyFont="1" applyFill="1" applyBorder="1" applyAlignment="1">
      <alignment/>
    </xf>
    <xf numFmtId="0" fontId="3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3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5" fillId="23" borderId="36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77" fontId="3" fillId="0" borderId="30" xfId="62" applyNumberFormat="1" applyFont="1" applyBorder="1" applyAlignment="1">
      <alignment/>
    </xf>
    <xf numFmtId="188" fontId="1" fillId="0" borderId="13" xfId="62" applyNumberFormat="1" applyFont="1" applyFill="1" applyBorder="1" applyAlignment="1">
      <alignment/>
    </xf>
    <xf numFmtId="176" fontId="1" fillId="0" borderId="10" xfId="62" applyNumberFormat="1" applyFont="1" applyBorder="1" applyAlignment="1">
      <alignment/>
    </xf>
    <xf numFmtId="164" fontId="1" fillId="0" borderId="10" xfId="62" applyNumberFormat="1" applyFont="1" applyFill="1" applyBorder="1" applyAlignment="1">
      <alignment/>
    </xf>
    <xf numFmtId="166" fontId="3" fillId="0" borderId="29" xfId="62" applyNumberFormat="1" applyFont="1" applyFill="1" applyBorder="1" applyAlignment="1">
      <alignment/>
    </xf>
    <xf numFmtId="164" fontId="1" fillId="0" borderId="27" xfId="62" applyNumberFormat="1" applyFont="1" applyFill="1" applyBorder="1" applyAlignment="1">
      <alignment/>
    </xf>
    <xf numFmtId="175" fontId="3" fillId="0" borderId="10" xfId="62" applyNumberFormat="1" applyFont="1" applyBorder="1" applyAlignment="1">
      <alignment/>
    </xf>
    <xf numFmtId="166" fontId="3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7" fontId="3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76" fontId="1" fillId="0" borderId="30" xfId="62" applyNumberFormat="1" applyFont="1" applyBorder="1" applyAlignment="1">
      <alignment/>
    </xf>
    <xf numFmtId="176" fontId="1" fillId="0" borderId="27" xfId="62" applyNumberFormat="1" applyFont="1" applyBorder="1" applyAlignment="1">
      <alignment/>
    </xf>
    <xf numFmtId="0" fontId="3" fillId="23" borderId="40" xfId="0" applyFont="1" applyFill="1" applyBorder="1" applyAlignment="1" applyProtection="1">
      <alignment/>
      <protection/>
    </xf>
    <xf numFmtId="164" fontId="3" fillId="23" borderId="41" xfId="62" applyNumberFormat="1" applyFont="1" applyFill="1" applyBorder="1" applyAlignment="1">
      <alignment horizontal="center"/>
    </xf>
    <xf numFmtId="164" fontId="3" fillId="23" borderId="42" xfId="62" applyNumberFormat="1" applyFont="1" applyFill="1" applyBorder="1" applyAlignment="1">
      <alignment horizontal="center"/>
    </xf>
    <xf numFmtId="166" fontId="3" fillId="25" borderId="38" xfId="62" applyNumberFormat="1" applyFont="1" applyFill="1" applyBorder="1" applyAlignment="1">
      <alignment/>
    </xf>
    <xf numFmtId="176" fontId="1" fillId="25" borderId="30" xfId="62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30" xfId="62" applyNumberFormat="1" applyFont="1" applyFill="1" applyBorder="1" applyAlignment="1">
      <alignment/>
    </xf>
    <xf numFmtId="177" fontId="1" fillId="0" borderId="30" xfId="62" applyNumberFormat="1" applyFont="1" applyBorder="1" applyAlignment="1">
      <alignment/>
    </xf>
    <xf numFmtId="173" fontId="3" fillId="0" borderId="10" xfId="62" applyNumberFormat="1" applyFont="1" applyBorder="1" applyAlignment="1">
      <alignment/>
    </xf>
    <xf numFmtId="173" fontId="3" fillId="0" borderId="10" xfId="62" applyNumberFormat="1" applyFont="1" applyFill="1" applyBorder="1" applyAlignment="1">
      <alignment/>
    </xf>
    <xf numFmtId="173" fontId="3" fillId="25" borderId="10" xfId="62" applyNumberFormat="1" applyFont="1" applyFill="1" applyBorder="1" applyAlignment="1">
      <alignment/>
    </xf>
    <xf numFmtId="166" fontId="1" fillId="0" borderId="10" xfId="62" applyNumberFormat="1" applyFont="1" applyFill="1" applyBorder="1" applyAlignment="1">
      <alignment/>
    </xf>
    <xf numFmtId="175" fontId="3" fillId="0" borderId="10" xfId="62" applyNumberFormat="1" applyFont="1" applyFill="1" applyBorder="1" applyAlignment="1">
      <alignment/>
    </xf>
    <xf numFmtId="166" fontId="3" fillId="0" borderId="38" xfId="62" applyNumberFormat="1" applyFont="1" applyFill="1" applyBorder="1" applyAlignment="1">
      <alignment/>
    </xf>
    <xf numFmtId="176" fontId="1" fillId="0" borderId="43" xfId="62" applyNumberFormat="1" applyFont="1" applyFill="1" applyBorder="1" applyAlignment="1">
      <alignment/>
    </xf>
    <xf numFmtId="176" fontId="1" fillId="0" borderId="44" xfId="62" applyNumberFormat="1" applyFont="1" applyBorder="1" applyAlignment="1">
      <alignment/>
    </xf>
    <xf numFmtId="0" fontId="0" fillId="0" borderId="0" xfId="0" applyFill="1" applyAlignment="1">
      <alignment/>
    </xf>
    <xf numFmtId="200" fontId="0" fillId="25" borderId="0" xfId="57" applyNumberFormat="1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25" borderId="0" xfId="0" applyNumberFormat="1" applyFill="1" applyAlignment="1">
      <alignment/>
    </xf>
    <xf numFmtId="0" fontId="31" fillId="26" borderId="0" xfId="0" applyFont="1" applyFill="1" applyAlignment="1">
      <alignment/>
    </xf>
    <xf numFmtId="0" fontId="0" fillId="26" borderId="0" xfId="0" applyFill="1" applyAlignment="1">
      <alignment/>
    </xf>
    <xf numFmtId="167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165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7" borderId="39" xfId="0" applyFont="1" applyFill="1" applyBorder="1" applyAlignment="1">
      <alignment/>
    </xf>
    <xf numFmtId="176" fontId="1" fillId="27" borderId="30" xfId="62" applyNumberFormat="1" applyFont="1" applyFill="1" applyBorder="1" applyAlignment="1">
      <alignment/>
    </xf>
    <xf numFmtId="177" fontId="3" fillId="27" borderId="30" xfId="62" applyNumberFormat="1" applyFont="1" applyFill="1" applyBorder="1" applyAlignment="1">
      <alignment/>
    </xf>
    <xf numFmtId="164" fontId="1" fillId="27" borderId="13" xfId="62" applyNumberFormat="1" applyFont="1" applyFill="1" applyBorder="1" applyAlignment="1">
      <alignment/>
    </xf>
    <xf numFmtId="164" fontId="1" fillId="27" borderId="10" xfId="62" applyNumberFormat="1" applyFont="1" applyFill="1" applyBorder="1" applyAlignment="1">
      <alignment/>
    </xf>
    <xf numFmtId="166" fontId="3" fillId="27" borderId="29" xfId="62" applyNumberFormat="1" applyFont="1" applyFill="1" applyBorder="1" applyAlignment="1">
      <alignment/>
    </xf>
    <xf numFmtId="177" fontId="1" fillId="27" borderId="30" xfId="62" applyNumberFormat="1" applyFont="1" applyFill="1" applyBorder="1" applyAlignment="1">
      <alignment/>
    </xf>
    <xf numFmtId="4" fontId="1" fillId="27" borderId="13" xfId="62" applyNumberFormat="1" applyFont="1" applyFill="1" applyBorder="1" applyAlignment="1">
      <alignment/>
    </xf>
    <xf numFmtId="176" fontId="1" fillId="27" borderId="27" xfId="62" applyNumberFormat="1" applyFont="1" applyFill="1" applyBorder="1" applyAlignment="1">
      <alignment/>
    </xf>
    <xf numFmtId="188" fontId="1" fillId="27" borderId="13" xfId="62" applyNumberFormat="1" applyFont="1" applyFill="1" applyBorder="1" applyAlignment="1">
      <alignment/>
    </xf>
    <xf numFmtId="176" fontId="1" fillId="27" borderId="10" xfId="62" applyNumberFormat="1" applyFont="1" applyFill="1" applyBorder="1" applyAlignment="1">
      <alignment/>
    </xf>
    <xf numFmtId="173" fontId="3" fillId="27" borderId="10" xfId="62" applyNumberFormat="1" applyFont="1" applyFill="1" applyBorder="1" applyAlignment="1">
      <alignment/>
    </xf>
    <xf numFmtId="166" fontId="1" fillId="27" borderId="10" xfId="62" applyNumberFormat="1" applyFont="1" applyFill="1" applyBorder="1" applyAlignment="1">
      <alignment/>
    </xf>
    <xf numFmtId="164" fontId="1" fillId="27" borderId="27" xfId="62" applyNumberFormat="1" applyFont="1" applyFill="1" applyBorder="1" applyAlignment="1">
      <alignment/>
    </xf>
    <xf numFmtId="175" fontId="3" fillId="27" borderId="10" xfId="62" applyNumberFormat="1" applyFont="1" applyFill="1" applyBorder="1" applyAlignment="1">
      <alignment/>
    </xf>
    <xf numFmtId="166" fontId="3" fillId="27" borderId="38" xfId="62" applyNumberFormat="1" applyFont="1" applyFill="1" applyBorder="1" applyAlignment="1">
      <alignment/>
    </xf>
    <xf numFmtId="166" fontId="1" fillId="27" borderId="13" xfId="62" applyNumberFormat="1" applyFont="1" applyFill="1" applyBorder="1" applyAlignment="1">
      <alignment/>
    </xf>
    <xf numFmtId="166" fontId="3" fillId="0" borderId="0" xfId="62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10" xfId="62" applyNumberFormat="1" applyFont="1" applyBorder="1" applyAlignment="1">
      <alignment/>
    </xf>
    <xf numFmtId="172" fontId="3" fillId="27" borderId="10" xfId="62" applyNumberFormat="1" applyFont="1" applyFill="1" applyBorder="1" applyAlignment="1">
      <alignment/>
    </xf>
    <xf numFmtId="172" fontId="3" fillId="0" borderId="10" xfId="6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8" borderId="46" xfId="0" applyFont="1" applyFill="1" applyBorder="1" applyAlignment="1">
      <alignment horizontal="center" vertical="center"/>
    </xf>
    <xf numFmtId="0" fontId="6" fillId="28" borderId="47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43" fontId="2" fillId="0" borderId="0" xfId="62" applyFont="1" applyAlignment="1">
      <alignment horizontal="center" wrapText="1"/>
    </xf>
    <xf numFmtId="43" fontId="2" fillId="0" borderId="49" xfId="62" applyFont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6" fillId="29" borderId="50" xfId="0" applyFont="1" applyFill="1" applyBorder="1" applyAlignment="1">
      <alignment horizontal="center" vertical="center"/>
    </xf>
    <xf numFmtId="0" fontId="6" fillId="29" borderId="47" xfId="0" applyFont="1" applyFill="1" applyBorder="1" applyAlignment="1">
      <alignment horizontal="center" vertical="center"/>
    </xf>
    <xf numFmtId="0" fontId="6" fillId="29" borderId="53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tabSelected="1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5" sqref="A25:IV25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hidden="1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52" width="9.125" style="84" customWidth="1"/>
    <col min="53" max="53" width="13.875" style="0" customWidth="1"/>
    <col min="54" max="54" width="9.125" style="71" customWidth="1"/>
    <col min="55" max="56" width="0" style="71" hidden="1" customWidth="1"/>
    <col min="57" max="59" width="12.25390625" style="71" hidden="1" customWidth="1"/>
    <col min="60" max="60" width="11.00390625" style="71" hidden="1" customWidth="1"/>
    <col min="61" max="61" width="0" style="71" hidden="1" customWidth="1"/>
    <col min="62" max="63" width="9.125" style="71" customWidth="1"/>
    <col min="64" max="64" width="12.25390625" style="71" customWidth="1"/>
    <col min="65" max="65" width="12.875" style="71" customWidth="1"/>
    <col min="66" max="66" width="13.00390625" style="71" customWidth="1"/>
    <col min="67" max="67" width="11.00390625" style="71" customWidth="1"/>
    <col min="68" max="16384" width="9.125" style="71" customWidth="1"/>
  </cols>
  <sheetData>
    <row r="1" spans="1:53" s="72" customFormat="1" ht="16.5" customHeight="1">
      <c r="A1" s="1"/>
      <c r="B1" s="128" t="s">
        <v>93</v>
      </c>
      <c r="C1" s="128"/>
      <c r="D1" s="128"/>
      <c r="E1" s="128"/>
      <c r="F1" s="128"/>
      <c r="G1" s="128"/>
      <c r="H1" s="128"/>
      <c r="I1" s="73"/>
      <c r="J1" s="73"/>
      <c r="K1" s="73"/>
      <c r="L1" s="73"/>
      <c r="M1" s="73"/>
      <c r="N1" s="1"/>
      <c r="O1" s="1"/>
      <c r="P1" s="1"/>
      <c r="Q1" s="1"/>
      <c r="R1" s="7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7"/>
      <c r="AM1" s="27"/>
      <c r="AN1" s="28"/>
      <c r="AO1" s="28"/>
      <c r="AP1" s="28"/>
      <c r="AQ1" s="27"/>
      <c r="AR1" s="1"/>
      <c r="AS1" s="27"/>
      <c r="AT1" s="27"/>
      <c r="AU1" s="28"/>
      <c r="AV1" s="28"/>
      <c r="AW1" s="27"/>
      <c r="AX1" s="1"/>
      <c r="AY1" s="1"/>
      <c r="AZ1" s="73"/>
      <c r="BA1" s="1"/>
    </row>
    <row r="2" spans="2:53" ht="12.75" customHeight="1" hidden="1">
      <c r="B2" s="128"/>
      <c r="C2" s="128"/>
      <c r="D2" s="128"/>
      <c r="E2" s="128"/>
      <c r="F2" s="128"/>
      <c r="G2" s="128"/>
      <c r="H2" s="128"/>
      <c r="BA2" s="1"/>
    </row>
    <row r="3" spans="2:53" ht="13.5" thickBot="1">
      <c r="B3" s="129"/>
      <c r="C3" s="129"/>
      <c r="D3" s="129"/>
      <c r="E3" s="129"/>
      <c r="F3" s="129"/>
      <c r="G3" s="129"/>
      <c r="H3" s="129"/>
      <c r="I3" s="84"/>
      <c r="K3" s="86"/>
      <c r="L3" s="84"/>
      <c r="M3" s="84"/>
      <c r="T3" s="84"/>
      <c r="Y3" s="84"/>
      <c r="AE3" s="84"/>
      <c r="AM3" s="84"/>
      <c r="AN3" s="84"/>
      <c r="AO3" s="84"/>
      <c r="BA3" s="1"/>
    </row>
    <row r="4" spans="1:53" ht="13.5" thickTop="1">
      <c r="A4" s="130" t="s">
        <v>40</v>
      </c>
      <c r="B4" s="133"/>
      <c r="C4" s="134"/>
      <c r="D4" s="134"/>
      <c r="E4" s="134"/>
      <c r="F4" s="134"/>
      <c r="G4" s="134"/>
      <c r="H4" s="135"/>
      <c r="I4" s="125"/>
      <c r="J4" s="126"/>
      <c r="K4" s="126"/>
      <c r="L4" s="126"/>
      <c r="M4" s="126"/>
      <c r="N4" s="126"/>
      <c r="O4" s="126"/>
      <c r="P4" s="126"/>
      <c r="Q4" s="136"/>
      <c r="R4" s="125"/>
      <c r="S4" s="126"/>
      <c r="T4" s="126"/>
      <c r="U4" s="126"/>
      <c r="V4" s="126"/>
      <c r="W4" s="126"/>
      <c r="X4" s="13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7"/>
      <c r="AM4" s="125"/>
      <c r="AN4" s="126"/>
      <c r="AO4" s="126"/>
      <c r="AP4" s="126"/>
      <c r="AQ4" s="126"/>
      <c r="AR4" s="127"/>
      <c r="AS4" s="125"/>
      <c r="AT4" s="126"/>
      <c r="AU4" s="126"/>
      <c r="AV4" s="126"/>
      <c r="AW4" s="126"/>
      <c r="AX4" s="127"/>
      <c r="AY4" s="39"/>
      <c r="AZ4" s="114"/>
      <c r="BA4" s="1"/>
    </row>
    <row r="5" spans="1:53" ht="13.5" thickBot="1">
      <c r="A5" s="131"/>
      <c r="B5" s="137"/>
      <c r="C5" s="124"/>
      <c r="D5" s="124"/>
      <c r="E5" s="3" t="s">
        <v>41</v>
      </c>
      <c r="F5" s="11"/>
      <c r="G5" s="12"/>
      <c r="H5" s="15"/>
      <c r="I5" s="123"/>
      <c r="J5" s="124"/>
      <c r="K5" s="124"/>
      <c r="L5" s="2"/>
      <c r="M5" s="2"/>
      <c r="N5" s="3" t="s">
        <v>42</v>
      </c>
      <c r="O5" s="11"/>
      <c r="P5" s="12"/>
      <c r="Q5" s="15"/>
      <c r="R5" s="123"/>
      <c r="S5" s="124"/>
      <c r="T5" s="124"/>
      <c r="U5" s="3" t="s">
        <v>43</v>
      </c>
      <c r="V5" s="11"/>
      <c r="W5" s="12"/>
      <c r="X5" s="15"/>
      <c r="Y5" s="138"/>
      <c r="Z5" s="124"/>
      <c r="AA5" s="124"/>
      <c r="AB5" s="2"/>
      <c r="AC5" s="2"/>
      <c r="AD5" s="2"/>
      <c r="AE5" s="2"/>
      <c r="AF5" s="2"/>
      <c r="AG5" s="2"/>
      <c r="AH5" s="2"/>
      <c r="AI5" s="3" t="s">
        <v>44</v>
      </c>
      <c r="AJ5" s="11"/>
      <c r="AK5" s="12"/>
      <c r="AL5" s="40"/>
      <c r="AM5" s="123"/>
      <c r="AN5" s="124"/>
      <c r="AO5" s="3" t="s">
        <v>94</v>
      </c>
      <c r="AP5" s="11"/>
      <c r="AQ5" s="12"/>
      <c r="AR5" s="40"/>
      <c r="AS5" s="123"/>
      <c r="AT5" s="124"/>
      <c r="AU5" s="3" t="s">
        <v>89</v>
      </c>
      <c r="AV5" s="11"/>
      <c r="AW5" s="12"/>
      <c r="AX5" s="40"/>
      <c r="AY5" s="41"/>
      <c r="AZ5" s="114"/>
      <c r="BA5" s="1"/>
    </row>
    <row r="6" spans="1:53" ht="159.75" customHeight="1" thickBot="1">
      <c r="A6" s="131"/>
      <c r="B6" s="4" t="s">
        <v>45</v>
      </c>
      <c r="C6" s="4" t="s">
        <v>46</v>
      </c>
      <c r="D6" s="4" t="s">
        <v>47</v>
      </c>
      <c r="E6" s="4" t="s">
        <v>48</v>
      </c>
      <c r="F6" s="5" t="s">
        <v>37</v>
      </c>
      <c r="G6" s="5" t="s">
        <v>49</v>
      </c>
      <c r="H6" s="16" t="s">
        <v>38</v>
      </c>
      <c r="I6" s="4" t="s">
        <v>50</v>
      </c>
      <c r="J6" s="4" t="s">
        <v>51</v>
      </c>
      <c r="K6" s="4" t="s">
        <v>84</v>
      </c>
      <c r="L6" s="4" t="s">
        <v>53</v>
      </c>
      <c r="M6" s="4" t="s">
        <v>88</v>
      </c>
      <c r="N6" s="4" t="s">
        <v>54</v>
      </c>
      <c r="O6" s="5" t="s">
        <v>37</v>
      </c>
      <c r="P6" s="5" t="s">
        <v>49</v>
      </c>
      <c r="Q6" s="16" t="s">
        <v>38</v>
      </c>
      <c r="R6" s="4" t="s">
        <v>55</v>
      </c>
      <c r="S6" s="4" t="s">
        <v>56</v>
      </c>
      <c r="T6" s="4" t="s">
        <v>57</v>
      </c>
      <c r="U6" s="4" t="s">
        <v>58</v>
      </c>
      <c r="V6" s="5" t="s">
        <v>37</v>
      </c>
      <c r="W6" s="5" t="s">
        <v>49</v>
      </c>
      <c r="X6" s="16" t="s">
        <v>38</v>
      </c>
      <c r="Y6" s="4" t="s">
        <v>59</v>
      </c>
      <c r="Z6" s="4" t="s">
        <v>60</v>
      </c>
      <c r="AA6" s="4" t="s">
        <v>61</v>
      </c>
      <c r="AB6" s="4" t="s">
        <v>62</v>
      </c>
      <c r="AC6" s="4" t="s">
        <v>63</v>
      </c>
      <c r="AD6" s="4" t="s">
        <v>52</v>
      </c>
      <c r="AE6" s="4" t="s">
        <v>64</v>
      </c>
      <c r="AF6" s="70" t="s">
        <v>82</v>
      </c>
      <c r="AG6" s="70" t="s">
        <v>83</v>
      </c>
      <c r="AH6" s="70" t="s">
        <v>86</v>
      </c>
      <c r="AI6" s="4" t="s">
        <v>87</v>
      </c>
      <c r="AJ6" s="5" t="s">
        <v>37</v>
      </c>
      <c r="AK6" s="5" t="s">
        <v>49</v>
      </c>
      <c r="AL6" s="5" t="s">
        <v>38</v>
      </c>
      <c r="AM6" s="22" t="s">
        <v>65</v>
      </c>
      <c r="AN6" s="4" t="s">
        <v>66</v>
      </c>
      <c r="AO6" s="4" t="s">
        <v>67</v>
      </c>
      <c r="AP6" s="5" t="s">
        <v>37</v>
      </c>
      <c r="AQ6" s="5" t="s">
        <v>49</v>
      </c>
      <c r="AR6" s="5" t="s">
        <v>38</v>
      </c>
      <c r="AS6" s="4" t="s">
        <v>90</v>
      </c>
      <c r="AT6" s="4" t="s">
        <v>92</v>
      </c>
      <c r="AU6" s="4" t="s">
        <v>91</v>
      </c>
      <c r="AV6" s="5" t="s">
        <v>37</v>
      </c>
      <c r="AW6" s="5" t="s">
        <v>49</v>
      </c>
      <c r="AX6" s="5" t="s">
        <v>38</v>
      </c>
      <c r="AY6" s="38" t="s">
        <v>68</v>
      </c>
      <c r="AZ6" s="119"/>
      <c r="BA6" s="1"/>
    </row>
    <row r="7" spans="1:53" ht="52.5" thickBot="1" thickTop="1">
      <c r="A7" s="132"/>
      <c r="B7" s="6" t="s">
        <v>34</v>
      </c>
      <c r="C7" s="6" t="s">
        <v>35</v>
      </c>
      <c r="D7" s="6" t="s">
        <v>36</v>
      </c>
      <c r="E7" s="6" t="s">
        <v>85</v>
      </c>
      <c r="F7" s="6" t="s">
        <v>69</v>
      </c>
      <c r="G7" s="6" t="s">
        <v>69</v>
      </c>
      <c r="H7" s="17">
        <v>1</v>
      </c>
      <c r="I7" s="6" t="s">
        <v>34</v>
      </c>
      <c r="J7" s="6" t="s">
        <v>35</v>
      </c>
      <c r="K7" s="6" t="s">
        <v>36</v>
      </c>
      <c r="L7" s="6" t="s">
        <v>70</v>
      </c>
      <c r="M7" s="6"/>
      <c r="N7" s="6" t="s">
        <v>71</v>
      </c>
      <c r="O7" s="42" t="s">
        <v>69</v>
      </c>
      <c r="P7" s="43" t="s">
        <v>72</v>
      </c>
      <c r="Q7" s="17">
        <v>1</v>
      </c>
      <c r="R7" s="6" t="s">
        <v>34</v>
      </c>
      <c r="S7" s="6" t="s">
        <v>35</v>
      </c>
      <c r="T7" s="6" t="s">
        <v>36</v>
      </c>
      <c r="U7" s="6" t="s">
        <v>73</v>
      </c>
      <c r="V7" s="6" t="s">
        <v>74</v>
      </c>
      <c r="W7" s="6" t="s">
        <v>74</v>
      </c>
      <c r="X7" s="17">
        <v>1</v>
      </c>
      <c r="Y7" s="6" t="s">
        <v>34</v>
      </c>
      <c r="Z7" s="6" t="s">
        <v>35</v>
      </c>
      <c r="AA7" s="6" t="s">
        <v>36</v>
      </c>
      <c r="AB7" s="6" t="s">
        <v>75</v>
      </c>
      <c r="AC7" s="6" t="s">
        <v>70</v>
      </c>
      <c r="AD7" s="6" t="s">
        <v>76</v>
      </c>
      <c r="AE7" s="6" t="s">
        <v>77</v>
      </c>
      <c r="AF7" s="29"/>
      <c r="AG7" s="29"/>
      <c r="AH7" s="29"/>
      <c r="AI7" s="6" t="s">
        <v>78</v>
      </c>
      <c r="AJ7" s="6" t="s">
        <v>79</v>
      </c>
      <c r="AK7" s="6" t="s">
        <v>39</v>
      </c>
      <c r="AL7" s="6">
        <v>1.5</v>
      </c>
      <c r="AM7" s="6" t="s">
        <v>34</v>
      </c>
      <c r="AN7" s="6" t="s">
        <v>35</v>
      </c>
      <c r="AO7" s="6" t="s">
        <v>80</v>
      </c>
      <c r="AP7" s="6" t="s">
        <v>69</v>
      </c>
      <c r="AQ7" s="6" t="s">
        <v>69</v>
      </c>
      <c r="AR7" s="6">
        <v>1</v>
      </c>
      <c r="AS7" s="6" t="s">
        <v>34</v>
      </c>
      <c r="AT7" s="6" t="s">
        <v>35</v>
      </c>
      <c r="AU7" s="6" t="s">
        <v>80</v>
      </c>
      <c r="AV7" s="6" t="s">
        <v>69</v>
      </c>
      <c r="AW7" s="6" t="s">
        <v>69</v>
      </c>
      <c r="AX7" s="6">
        <v>1</v>
      </c>
      <c r="AY7" s="44"/>
      <c r="AZ7" s="119"/>
      <c r="BA7" s="1"/>
    </row>
    <row r="8" spans="1:62" ht="15" thickBot="1" thickTop="1">
      <c r="A8" s="45"/>
      <c r="B8" s="18"/>
      <c r="C8" s="18"/>
      <c r="D8" s="18"/>
      <c r="E8" s="18"/>
      <c r="F8" s="18"/>
      <c r="G8" s="18"/>
      <c r="H8" s="19"/>
      <c r="I8" s="113"/>
      <c r="J8" s="18"/>
      <c r="K8" s="18"/>
      <c r="L8" s="114"/>
      <c r="M8" s="114"/>
      <c r="N8" s="18"/>
      <c r="O8" s="18"/>
      <c r="P8" s="18"/>
      <c r="Q8" s="19"/>
      <c r="R8" s="113"/>
      <c r="S8" s="18"/>
      <c r="T8" s="18"/>
      <c r="U8" s="18"/>
      <c r="V8" s="18"/>
      <c r="W8" s="18"/>
      <c r="X8" s="19"/>
      <c r="Y8" s="46"/>
      <c r="Z8" s="18"/>
      <c r="AA8" s="18"/>
      <c r="AB8" s="114"/>
      <c r="AC8" s="46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47"/>
      <c r="AZ8" s="114"/>
      <c r="BA8" s="1"/>
      <c r="BJ8" s="92"/>
    </row>
    <row r="9" spans="1:64" ht="14.25" thickBot="1" thickTop="1">
      <c r="A9" s="48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9" t="s">
        <v>81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50"/>
      <c r="AZ9" s="120"/>
      <c r="BA9" s="1"/>
      <c r="BE9" s="88"/>
      <c r="BJ9" s="92"/>
      <c r="BL9" s="88"/>
    </row>
    <row r="10" spans="1:66" ht="13.5" thickTop="1">
      <c r="A10" s="51" t="s">
        <v>0</v>
      </c>
      <c r="B10" s="37">
        <v>1874050.675</v>
      </c>
      <c r="C10" s="37">
        <v>394048.6592</v>
      </c>
      <c r="D10" s="37">
        <v>1901954.675</v>
      </c>
      <c r="E10" s="52">
        <f>IF(AND(B10=0,D10=0),0,B10/(IF(C10&gt;0,C10,0)+D10))</f>
        <v>0.8162229762845612</v>
      </c>
      <c r="F10" s="7">
        <f>IF(E10&lt;=1.05,1,0)</f>
        <v>1</v>
      </c>
      <c r="G10" s="8"/>
      <c r="H10" s="30">
        <f aca="true" t="shared" si="0" ref="H10:H42">F10+G10</f>
        <v>1</v>
      </c>
      <c r="I10" s="69">
        <v>2294561.1</v>
      </c>
      <c r="J10" s="74">
        <v>8192577.39366</v>
      </c>
      <c r="K10" s="94">
        <v>5307034.558069999</v>
      </c>
      <c r="L10" s="69">
        <v>115217.091</v>
      </c>
      <c r="M10" s="37">
        <v>0</v>
      </c>
      <c r="N10" s="61">
        <f>(I10-M10)/(J10-K10-L10)</f>
        <v>0.828264006310777</v>
      </c>
      <c r="O10" s="7">
        <f aca="true" t="shared" si="1" ref="O10:O16">IF(N10&lt;=1,1,0)</f>
        <v>1</v>
      </c>
      <c r="P10" s="8"/>
      <c r="Q10" s="30">
        <f aca="true" t="shared" si="2" ref="Q10:Q42">O10+P10</f>
        <v>1</v>
      </c>
      <c r="R10" s="82">
        <v>220323.6</v>
      </c>
      <c r="S10" s="37">
        <v>8586626.05286</v>
      </c>
      <c r="T10" s="53">
        <v>2746793.8959299996</v>
      </c>
      <c r="U10" s="52">
        <f aca="true" t="shared" si="3" ref="U10:U42">R10/(S10-T10)</f>
        <v>0.03772772814001972</v>
      </c>
      <c r="V10" s="7">
        <f aca="true" t="shared" si="4" ref="V10:V16">IF(U10&lt;=0.15,1,0)</f>
        <v>1</v>
      </c>
      <c r="W10" s="8"/>
      <c r="X10" s="30">
        <f>V10+W10</f>
        <v>1</v>
      </c>
      <c r="Y10" s="37">
        <v>394048.6592</v>
      </c>
      <c r="Z10" s="91">
        <v>22323.2</v>
      </c>
      <c r="AA10" s="35">
        <v>399629.4592</v>
      </c>
      <c r="AB10" s="54">
        <v>0</v>
      </c>
      <c r="AC10" s="54">
        <f aca="true" t="shared" si="5" ref="AC10:AE42">J10</f>
        <v>8192577.39366</v>
      </c>
      <c r="AD10" s="54">
        <f t="shared" si="5"/>
        <v>5307034.558069999</v>
      </c>
      <c r="AE10" s="54">
        <f t="shared" si="5"/>
        <v>115217.091</v>
      </c>
      <c r="AF10" s="54">
        <f>AC10-AD10-AE10</f>
        <v>2770325.7445900002</v>
      </c>
      <c r="AG10" s="54">
        <f aca="true" t="shared" si="6" ref="AG10:AG17">AF10*10%</f>
        <v>277032.574459</v>
      </c>
      <c r="AH10" s="54">
        <f aca="true" t="shared" si="7" ref="AH10:AH15">IF(AA10&gt;0,AA10,0)+AG10+IF(AB10&gt;0,AB10,0)</f>
        <v>676662.033659</v>
      </c>
      <c r="AI10" s="76">
        <f>IF((Y10-IF(Z10&gt;0,Z10,0)-IF(AA10&gt;0,AA10,0)-IF(AB10&gt;0,AB10,0))/(AC10-AD10-AE10)&gt;0,(Y10-IF(Z10&gt;0,Z10,0)-IF(AA10&gt;0,AA10,0)-IF(AB10&gt;0,AB10,0))/(AC10-AD10-AE10),0)</f>
        <v>0</v>
      </c>
      <c r="AJ10" s="33">
        <f>IF(AI10&lt;=0.1,1.5,0)</f>
        <v>1.5</v>
      </c>
      <c r="AK10" s="55"/>
      <c r="AL10" s="56">
        <f aca="true" t="shared" si="8" ref="AL10:AL42">AJ10+AK10</f>
        <v>1.5</v>
      </c>
      <c r="AM10" s="57">
        <v>220317</v>
      </c>
      <c r="AN10" s="55">
        <v>233258</v>
      </c>
      <c r="AO10" s="115">
        <f aca="true" t="shared" si="9" ref="AO10:AO42">AM10/AN10</f>
        <v>0.9445206595272188</v>
      </c>
      <c r="AP10" s="32">
        <f>IF(AO10&lt;=1,1,0)</f>
        <v>1</v>
      </c>
      <c r="AQ10" s="8"/>
      <c r="AR10" s="58">
        <f>AP10+AQ10</f>
        <v>1</v>
      </c>
      <c r="AS10" s="57">
        <v>424296</v>
      </c>
      <c r="AT10" s="55">
        <v>425104</v>
      </c>
      <c r="AU10" s="76">
        <f aca="true" t="shared" si="10" ref="AU10:AU42">AS10/AT10</f>
        <v>0.998099288644661</v>
      </c>
      <c r="AV10" s="32">
        <f>IF(AU10&lt;=1,1,0)</f>
        <v>1</v>
      </c>
      <c r="AW10" s="8"/>
      <c r="AX10" s="58">
        <f aca="true" t="shared" si="11" ref="AX10:AX42">AV10+AW10</f>
        <v>1</v>
      </c>
      <c r="AY10" s="59">
        <f>H10+Q10+X10+AL10+AR10+AX10</f>
        <v>6.5</v>
      </c>
      <c r="AZ10" s="112"/>
      <c r="BA10" s="93"/>
      <c r="BC10" s="85"/>
      <c r="BE10" s="87"/>
      <c r="BF10" s="87"/>
      <c r="BG10" s="87"/>
      <c r="BJ10" s="85"/>
      <c r="BL10" s="87"/>
      <c r="BM10" s="87"/>
      <c r="BN10" s="87"/>
    </row>
    <row r="11" spans="1:66" ht="12.75">
      <c r="A11" s="95" t="s">
        <v>1</v>
      </c>
      <c r="B11" s="96">
        <v>26000</v>
      </c>
      <c r="C11" s="96">
        <v>2025.0341299999998</v>
      </c>
      <c r="D11" s="96">
        <v>26620</v>
      </c>
      <c r="E11" s="97">
        <f aca="true" t="shared" si="12" ref="E11:E42">IF(AND(B11=0,D11=0),0,B11/(IF(C11&gt;0,C11,0)+D11))</f>
        <v>0.9076616869089413</v>
      </c>
      <c r="F11" s="98"/>
      <c r="G11" s="99">
        <f>IF(E11&lt;=1.05,1,0)</f>
        <v>1</v>
      </c>
      <c r="H11" s="100">
        <f t="shared" si="0"/>
        <v>1</v>
      </c>
      <c r="I11" s="96">
        <v>26000</v>
      </c>
      <c r="J11" s="101">
        <v>760596.23594</v>
      </c>
      <c r="K11" s="102">
        <v>544033.6359400001</v>
      </c>
      <c r="L11" s="96">
        <v>154196.252</v>
      </c>
      <c r="M11" s="96">
        <v>0</v>
      </c>
      <c r="N11" s="97">
        <f>(I11-M11)/(J11-K11-L11)</f>
        <v>0.41689149411153614</v>
      </c>
      <c r="O11" s="98"/>
      <c r="P11" s="99">
        <f>IF(N11&lt;=0.5,1,0)</f>
        <v>1</v>
      </c>
      <c r="Q11" s="100">
        <f t="shared" si="2"/>
        <v>1</v>
      </c>
      <c r="R11" s="103">
        <v>2260.6</v>
      </c>
      <c r="S11" s="96">
        <v>762621.2700700001</v>
      </c>
      <c r="T11" s="104">
        <v>392020.27912</v>
      </c>
      <c r="U11" s="97">
        <f t="shared" si="3"/>
        <v>0.006099821790020499</v>
      </c>
      <c r="V11" s="98"/>
      <c r="W11" s="99">
        <f>IF(U11&lt;=0.15,1,0)</f>
        <v>1</v>
      </c>
      <c r="X11" s="100">
        <f aca="true" t="shared" si="13" ref="X11:X42">V11+W11</f>
        <v>1</v>
      </c>
      <c r="Y11" s="96">
        <v>2025.0341299999998</v>
      </c>
      <c r="Z11" s="105"/>
      <c r="AA11" s="105">
        <v>2645.03413</v>
      </c>
      <c r="AB11" s="105">
        <v>0</v>
      </c>
      <c r="AC11" s="105">
        <f t="shared" si="5"/>
        <v>760596.23594</v>
      </c>
      <c r="AD11" s="105">
        <f t="shared" si="5"/>
        <v>544033.6359400001</v>
      </c>
      <c r="AE11" s="105">
        <f t="shared" si="5"/>
        <v>154196.252</v>
      </c>
      <c r="AF11" s="105">
        <f aca="true" t="shared" si="14" ref="AF11:AF42">AC11-AD11-AE11</f>
        <v>62366.34799999997</v>
      </c>
      <c r="AG11" s="105">
        <f t="shared" si="6"/>
        <v>6236.634799999997</v>
      </c>
      <c r="AH11" s="105">
        <f t="shared" si="7"/>
        <v>8881.668929999996</v>
      </c>
      <c r="AI11" s="106">
        <f>IF((Y11-IF(Z11&gt;0,Z11,0)-IF(AA11&gt;0,AA11,0)-IF(AB11&gt;0,AB11,0))/(AC11-AD11-AE11)&gt;0,(Y11-IF(Z11&gt;0,Z11,0)-IF(AA11&gt;0,AA11,0)-IF(AB11&gt;0,AB11,0))/(AC11-AD11-AE11),0)</f>
        <v>0</v>
      </c>
      <c r="AJ11" s="111"/>
      <c r="AK11" s="107">
        <f>IF(AI11&lt;=0.05,1.5,0)</f>
        <v>1.5</v>
      </c>
      <c r="AL11" s="100">
        <f t="shared" si="8"/>
        <v>1.5</v>
      </c>
      <c r="AM11" s="108">
        <v>27031</v>
      </c>
      <c r="AN11" s="99">
        <v>27112</v>
      </c>
      <c r="AO11" s="116">
        <f t="shared" si="9"/>
        <v>0.9970123930362939</v>
      </c>
      <c r="AP11" s="111"/>
      <c r="AQ11" s="107">
        <f>IF(AO11&lt;=1,1,0)</f>
        <v>1</v>
      </c>
      <c r="AR11" s="109">
        <f aca="true" t="shared" si="15" ref="AR11:AR42">AP11+AQ11</f>
        <v>1</v>
      </c>
      <c r="AS11" s="108">
        <v>65318</v>
      </c>
      <c r="AT11" s="99">
        <v>66609</v>
      </c>
      <c r="AU11" s="106">
        <f t="shared" si="10"/>
        <v>0.9806182347730787</v>
      </c>
      <c r="AV11" s="111"/>
      <c r="AW11" s="107">
        <f>IF(AU11&lt;=1,1,0)</f>
        <v>1</v>
      </c>
      <c r="AX11" s="109">
        <f t="shared" si="11"/>
        <v>1</v>
      </c>
      <c r="AY11" s="110">
        <f aca="true" t="shared" si="16" ref="AY11:AY42">H11+Q11+X11+AL11+AR11+AX11</f>
        <v>6.5</v>
      </c>
      <c r="AZ11" s="112"/>
      <c r="BA11" s="93"/>
      <c r="BC11" s="85"/>
      <c r="BE11" s="87"/>
      <c r="BF11" s="87"/>
      <c r="BG11" s="87"/>
      <c r="BJ11" s="85"/>
      <c r="BL11" s="87"/>
      <c r="BM11" s="87"/>
      <c r="BN11" s="87"/>
    </row>
    <row r="12" spans="1:66" ht="12.75">
      <c r="A12" s="62" t="s">
        <v>2</v>
      </c>
      <c r="B12" s="37">
        <v>0</v>
      </c>
      <c r="C12" s="37">
        <v>11970.35644</v>
      </c>
      <c r="D12" s="37">
        <v>0</v>
      </c>
      <c r="E12" s="52">
        <f t="shared" si="12"/>
        <v>0</v>
      </c>
      <c r="F12" s="36">
        <f aca="true" t="shared" si="17" ref="F12:F17">IF(E12&lt;=1.05,1,0)</f>
        <v>1</v>
      </c>
      <c r="G12" s="8"/>
      <c r="H12" s="30">
        <f t="shared" si="0"/>
        <v>1</v>
      </c>
      <c r="I12" s="69">
        <v>75000</v>
      </c>
      <c r="J12" s="74">
        <v>954011.69575</v>
      </c>
      <c r="K12" s="94">
        <v>538372.92175</v>
      </c>
      <c r="L12" s="69">
        <v>160274.777</v>
      </c>
      <c r="M12" s="69">
        <v>0</v>
      </c>
      <c r="N12" s="52">
        <f aca="true" t="shared" si="18" ref="N12:N41">(I12-M12)/(J12-K12-L12)</f>
        <v>0.2936984104301908</v>
      </c>
      <c r="O12" s="7">
        <f t="shared" si="1"/>
        <v>1</v>
      </c>
      <c r="P12" s="8"/>
      <c r="Q12" s="30">
        <f t="shared" si="2"/>
        <v>1</v>
      </c>
      <c r="R12" s="34">
        <v>8144.7</v>
      </c>
      <c r="S12" s="37">
        <v>965982.0521900001</v>
      </c>
      <c r="T12" s="53">
        <v>472909.14780000004</v>
      </c>
      <c r="U12" s="52">
        <f t="shared" si="3"/>
        <v>0.016518246951890674</v>
      </c>
      <c r="V12" s="7">
        <f t="shared" si="4"/>
        <v>1</v>
      </c>
      <c r="W12" s="8"/>
      <c r="X12" s="30">
        <f t="shared" si="13"/>
        <v>1</v>
      </c>
      <c r="Y12" s="37">
        <v>11970.35644</v>
      </c>
      <c r="Z12" s="35"/>
      <c r="AA12" s="35">
        <v>11970.35644</v>
      </c>
      <c r="AB12" s="54">
        <v>0</v>
      </c>
      <c r="AC12" s="54">
        <f t="shared" si="5"/>
        <v>954011.69575</v>
      </c>
      <c r="AD12" s="54">
        <f t="shared" si="5"/>
        <v>538372.92175</v>
      </c>
      <c r="AE12" s="54">
        <f t="shared" si="5"/>
        <v>160274.777</v>
      </c>
      <c r="AF12" s="54">
        <f t="shared" si="14"/>
        <v>255363.99699999997</v>
      </c>
      <c r="AG12" s="54">
        <f t="shared" si="6"/>
        <v>25536.399699999998</v>
      </c>
      <c r="AH12" s="54">
        <f t="shared" si="7"/>
        <v>37506.75614</v>
      </c>
      <c r="AI12" s="76">
        <f>IF((Y12-IF(Z12&gt;0,Z12,0)-IF(AA12&gt;0,AA12,0)-IF(AB12&gt;0,AB12,0))/(AC12-AD12-AE12)&gt;0,(Y12-IF(Z12&gt;0,Z12,0)-IF(AA12&gt;0,AA12,0)-IF(AB12&gt;0,AB12,0))/(AC12-AD12-AE12),0)</f>
        <v>0</v>
      </c>
      <c r="AJ12" s="33">
        <f aca="true" t="shared" si="19" ref="AJ12:AJ17">IF(AI12&lt;=0.1,1.5,0)</f>
        <v>1.5</v>
      </c>
      <c r="AK12" s="8"/>
      <c r="AL12" s="30">
        <f t="shared" si="8"/>
        <v>1.5</v>
      </c>
      <c r="AM12" s="57">
        <v>30865</v>
      </c>
      <c r="AN12" s="55">
        <v>30978</v>
      </c>
      <c r="AO12" s="115">
        <f t="shared" si="9"/>
        <v>0.9963522499838595</v>
      </c>
      <c r="AP12" s="32">
        <f aca="true" t="shared" si="20" ref="AP12:AP17">IF(AO12&lt;=1,1,0)</f>
        <v>1</v>
      </c>
      <c r="AQ12" s="8"/>
      <c r="AR12" s="58">
        <f t="shared" si="15"/>
        <v>1</v>
      </c>
      <c r="AS12" s="57">
        <v>59324</v>
      </c>
      <c r="AT12" s="55">
        <v>68014</v>
      </c>
      <c r="AU12" s="76">
        <f t="shared" si="10"/>
        <v>0.8722321874908107</v>
      </c>
      <c r="AV12" s="32">
        <f aca="true" t="shared" si="21" ref="AV12:AV17">IF(AU12&lt;=1,1,0)</f>
        <v>1</v>
      </c>
      <c r="AW12" s="8"/>
      <c r="AX12" s="58">
        <f t="shared" si="11"/>
        <v>1</v>
      </c>
      <c r="AY12" s="81">
        <f t="shared" si="16"/>
        <v>6.5</v>
      </c>
      <c r="AZ12" s="112"/>
      <c r="BA12" s="93"/>
      <c r="BC12" s="85"/>
      <c r="BE12" s="87"/>
      <c r="BF12" s="87"/>
      <c r="BG12" s="87"/>
      <c r="BJ12" s="85"/>
      <c r="BL12" s="87"/>
      <c r="BM12" s="87"/>
      <c r="BN12" s="87"/>
    </row>
    <row r="13" spans="1:66" ht="12.75">
      <c r="A13" s="62" t="s">
        <v>3</v>
      </c>
      <c r="B13" s="37">
        <v>33000</v>
      </c>
      <c r="C13" s="37">
        <v>9822.99829</v>
      </c>
      <c r="D13" s="37">
        <v>33000</v>
      </c>
      <c r="E13" s="52">
        <f t="shared" si="12"/>
        <v>0.7706139531968769</v>
      </c>
      <c r="F13" s="7">
        <f t="shared" si="17"/>
        <v>1</v>
      </c>
      <c r="G13" s="8"/>
      <c r="H13" s="30">
        <f t="shared" si="0"/>
        <v>1</v>
      </c>
      <c r="I13" s="69">
        <v>33000</v>
      </c>
      <c r="J13" s="74">
        <v>641363.22276</v>
      </c>
      <c r="K13" s="94">
        <v>368763.22276</v>
      </c>
      <c r="L13" s="69">
        <v>83076.308</v>
      </c>
      <c r="M13" s="69">
        <v>0</v>
      </c>
      <c r="N13" s="52">
        <f t="shared" si="18"/>
        <v>0.17412071098741572</v>
      </c>
      <c r="O13" s="7">
        <f t="shared" si="1"/>
        <v>1</v>
      </c>
      <c r="P13" s="8"/>
      <c r="Q13" s="30">
        <f t="shared" si="2"/>
        <v>1</v>
      </c>
      <c r="R13" s="34">
        <v>2987.3</v>
      </c>
      <c r="S13" s="37">
        <v>651186.2210499999</v>
      </c>
      <c r="T13" s="53">
        <v>249826.40093</v>
      </c>
      <c r="U13" s="52">
        <f t="shared" si="3"/>
        <v>0.007442947326184388</v>
      </c>
      <c r="V13" s="7">
        <f t="shared" si="4"/>
        <v>1</v>
      </c>
      <c r="W13" s="8"/>
      <c r="X13" s="30">
        <f t="shared" si="13"/>
        <v>1</v>
      </c>
      <c r="Y13" s="37">
        <v>9822.99829</v>
      </c>
      <c r="Z13" s="35"/>
      <c r="AA13" s="35">
        <v>9822.99829</v>
      </c>
      <c r="AB13" s="54">
        <v>0</v>
      </c>
      <c r="AC13" s="54">
        <f t="shared" si="5"/>
        <v>641363.22276</v>
      </c>
      <c r="AD13" s="54">
        <f t="shared" si="5"/>
        <v>368763.22276</v>
      </c>
      <c r="AE13" s="54">
        <f t="shared" si="5"/>
        <v>83076.308</v>
      </c>
      <c r="AF13" s="54">
        <f t="shared" si="14"/>
        <v>189523.69200000004</v>
      </c>
      <c r="AG13" s="54">
        <f t="shared" si="6"/>
        <v>18952.369200000005</v>
      </c>
      <c r="AH13" s="54">
        <f t="shared" si="7"/>
        <v>28775.367490000004</v>
      </c>
      <c r="AI13" s="76">
        <f>IF((Y13-IF(Z13&gt;0,Z13,0)-IF(AA13&gt;0,AA13,0)-IF(AB13&gt;0,AB13,0))/(AC13-AD13-AE13)&gt;0,(Y13-IF(Z13&gt;0,Z13,0)-IF(AA13&gt;0,AA13,0)-IF(AB13&gt;0,AB13,0))/(AC13-AD13-AE13),0)</f>
        <v>0</v>
      </c>
      <c r="AJ13" s="33">
        <f t="shared" si="19"/>
        <v>1.5</v>
      </c>
      <c r="AK13" s="8"/>
      <c r="AL13" s="30">
        <f t="shared" si="8"/>
        <v>1.5</v>
      </c>
      <c r="AM13" s="57">
        <v>17734</v>
      </c>
      <c r="AN13" s="55">
        <v>17736</v>
      </c>
      <c r="AO13" s="117">
        <f t="shared" si="9"/>
        <v>0.9998872350022553</v>
      </c>
      <c r="AP13" s="32">
        <f t="shared" si="20"/>
        <v>1</v>
      </c>
      <c r="AQ13" s="8"/>
      <c r="AR13" s="58">
        <f t="shared" si="15"/>
        <v>1</v>
      </c>
      <c r="AS13" s="57">
        <v>34824</v>
      </c>
      <c r="AT13" s="55">
        <v>40768</v>
      </c>
      <c r="AU13" s="77">
        <f t="shared" si="10"/>
        <v>0.8541993720565149</v>
      </c>
      <c r="AV13" s="32">
        <f t="shared" si="21"/>
        <v>1</v>
      </c>
      <c r="AW13" s="8"/>
      <c r="AX13" s="58">
        <f t="shared" si="11"/>
        <v>1</v>
      </c>
      <c r="AY13" s="81">
        <f t="shared" si="16"/>
        <v>6.5</v>
      </c>
      <c r="AZ13" s="112"/>
      <c r="BA13" s="93"/>
      <c r="BC13" s="85"/>
      <c r="BE13" s="87"/>
      <c r="BF13" s="87"/>
      <c r="BG13" s="87"/>
      <c r="BJ13" s="85"/>
      <c r="BL13" s="87"/>
      <c r="BM13" s="87"/>
      <c r="BN13" s="87"/>
    </row>
    <row r="14" spans="1:67" s="84" customFormat="1" ht="12.75">
      <c r="A14" s="60" t="s">
        <v>4</v>
      </c>
      <c r="B14" s="37">
        <v>7000</v>
      </c>
      <c r="C14" s="37">
        <v>2967.8256699999997</v>
      </c>
      <c r="D14" s="37">
        <v>7000</v>
      </c>
      <c r="E14" s="61">
        <f t="shared" si="12"/>
        <v>0.7022594728023569</v>
      </c>
      <c r="F14" s="7">
        <f t="shared" si="17"/>
        <v>1</v>
      </c>
      <c r="G14" s="55"/>
      <c r="H14" s="56">
        <f t="shared" si="0"/>
        <v>1</v>
      </c>
      <c r="I14" s="37">
        <v>7000</v>
      </c>
      <c r="J14" s="74">
        <v>267956.99633</v>
      </c>
      <c r="K14" s="94">
        <v>164030.22204</v>
      </c>
      <c r="L14" s="37">
        <v>35768.4</v>
      </c>
      <c r="M14" s="37">
        <v>0</v>
      </c>
      <c r="N14" s="61">
        <f t="shared" si="18"/>
        <v>0.10270198010029442</v>
      </c>
      <c r="O14" s="7">
        <f t="shared" si="1"/>
        <v>1</v>
      </c>
      <c r="P14" s="55"/>
      <c r="Q14" s="56">
        <f t="shared" si="2"/>
        <v>1</v>
      </c>
      <c r="R14" s="34">
        <v>752.1</v>
      </c>
      <c r="S14" s="37">
        <v>270924.822</v>
      </c>
      <c r="T14" s="53">
        <v>115315.29740000001</v>
      </c>
      <c r="U14" s="61">
        <f t="shared" si="3"/>
        <v>0.004833251704439692</v>
      </c>
      <c r="V14" s="7">
        <f t="shared" si="4"/>
        <v>1</v>
      </c>
      <c r="W14" s="55"/>
      <c r="X14" s="56">
        <f t="shared" si="13"/>
        <v>1</v>
      </c>
      <c r="Y14" s="37">
        <v>2967.8256699999997</v>
      </c>
      <c r="Z14" s="35"/>
      <c r="AA14" s="35">
        <v>2967.8256699999997</v>
      </c>
      <c r="AB14" s="35">
        <v>0</v>
      </c>
      <c r="AC14" s="35">
        <f t="shared" si="5"/>
        <v>267956.99633</v>
      </c>
      <c r="AD14" s="35">
        <f t="shared" si="5"/>
        <v>164030.22204</v>
      </c>
      <c r="AE14" s="35">
        <f t="shared" si="5"/>
        <v>35768.4</v>
      </c>
      <c r="AF14" s="35">
        <f t="shared" si="14"/>
        <v>68158.37429</v>
      </c>
      <c r="AG14" s="54">
        <f>AF14*5%</f>
        <v>3407.9187145000005</v>
      </c>
      <c r="AH14" s="35">
        <f t="shared" si="7"/>
        <v>6375.7443845</v>
      </c>
      <c r="AI14" s="77">
        <f>IF((Y14-IF(Z14&gt;0,Z14,0)-IF(AA14&gt;0,AA14,0)-IF(AB14&gt;0,AB14,0))/(AC14-AD14-AE14)&gt;0,(Y14-IF(Z14&gt;0,Z14,0)-IF(AA14&gt;0,AA14,0)-IF(AB14&gt;0,AB14,0))/(AC14-AD14-AE14),0)</f>
        <v>0</v>
      </c>
      <c r="AJ14" s="33">
        <f t="shared" si="19"/>
        <v>1.5</v>
      </c>
      <c r="AK14" s="79"/>
      <c r="AL14" s="56">
        <f t="shared" si="8"/>
        <v>1.5</v>
      </c>
      <c r="AM14" s="57">
        <v>9458</v>
      </c>
      <c r="AN14" s="55">
        <v>9458</v>
      </c>
      <c r="AO14" s="117">
        <f t="shared" si="9"/>
        <v>1</v>
      </c>
      <c r="AP14" s="32">
        <f t="shared" si="20"/>
        <v>1</v>
      </c>
      <c r="AQ14" s="79"/>
      <c r="AR14" s="80">
        <f t="shared" si="15"/>
        <v>1</v>
      </c>
      <c r="AS14" s="57">
        <v>22499</v>
      </c>
      <c r="AT14" s="55">
        <v>22910</v>
      </c>
      <c r="AU14" s="77">
        <f t="shared" si="10"/>
        <v>0.9820602357049324</v>
      </c>
      <c r="AV14" s="32">
        <f t="shared" si="21"/>
        <v>1</v>
      </c>
      <c r="AW14" s="79"/>
      <c r="AX14" s="80">
        <f t="shared" si="11"/>
        <v>1</v>
      </c>
      <c r="AY14" s="81">
        <f t="shared" si="16"/>
        <v>6.5</v>
      </c>
      <c r="AZ14" s="112"/>
      <c r="BA14" s="93"/>
      <c r="BB14" s="71"/>
      <c r="BC14" s="85"/>
      <c r="BD14" s="71"/>
      <c r="BE14" s="87"/>
      <c r="BF14" s="87"/>
      <c r="BG14" s="87"/>
      <c r="BH14" s="71"/>
      <c r="BJ14" s="85"/>
      <c r="BK14" s="71"/>
      <c r="BL14" s="87"/>
      <c r="BM14" s="87"/>
      <c r="BN14" s="87"/>
      <c r="BO14" s="71"/>
    </row>
    <row r="15" spans="1:67" s="84" customFormat="1" ht="12.75">
      <c r="A15" s="95" t="s">
        <v>5</v>
      </c>
      <c r="B15" s="96">
        <v>0</v>
      </c>
      <c r="C15" s="96">
        <v>1296.31164</v>
      </c>
      <c r="D15" s="96">
        <v>0</v>
      </c>
      <c r="E15" s="97">
        <f t="shared" si="12"/>
        <v>0</v>
      </c>
      <c r="F15" s="98"/>
      <c r="G15" s="99">
        <f>IF(E15&lt;=1.05,1,0)</f>
        <v>1</v>
      </c>
      <c r="H15" s="100">
        <f t="shared" si="0"/>
        <v>1</v>
      </c>
      <c r="I15" s="96">
        <v>0</v>
      </c>
      <c r="J15" s="101">
        <v>287224.14982</v>
      </c>
      <c r="K15" s="102">
        <v>211781.14982</v>
      </c>
      <c r="L15" s="96">
        <v>51775.729</v>
      </c>
      <c r="M15" s="96">
        <v>0</v>
      </c>
      <c r="N15" s="97">
        <f t="shared" si="18"/>
        <v>0</v>
      </c>
      <c r="O15" s="98"/>
      <c r="P15" s="99">
        <f>IF(N15&lt;=0.5,1,0)</f>
        <v>1</v>
      </c>
      <c r="Q15" s="100">
        <f t="shared" si="2"/>
        <v>1</v>
      </c>
      <c r="R15" s="103">
        <v>0</v>
      </c>
      <c r="S15" s="96">
        <v>288520.46145999996</v>
      </c>
      <c r="T15" s="104">
        <v>135554.64281999998</v>
      </c>
      <c r="U15" s="97">
        <f t="shared" si="3"/>
        <v>0</v>
      </c>
      <c r="V15" s="98"/>
      <c r="W15" s="99">
        <f>IF(U15&lt;=0.15,1,0)</f>
        <v>1</v>
      </c>
      <c r="X15" s="100">
        <f t="shared" si="13"/>
        <v>1</v>
      </c>
      <c r="Y15" s="96">
        <v>1296.31164</v>
      </c>
      <c r="Z15" s="105"/>
      <c r="AA15" s="105">
        <v>1296.31164</v>
      </c>
      <c r="AB15" s="105">
        <v>0</v>
      </c>
      <c r="AC15" s="105">
        <f t="shared" si="5"/>
        <v>287224.14982</v>
      </c>
      <c r="AD15" s="105">
        <f t="shared" si="5"/>
        <v>211781.14982</v>
      </c>
      <c r="AE15" s="105">
        <f t="shared" si="5"/>
        <v>51775.729</v>
      </c>
      <c r="AF15" s="105">
        <f t="shared" si="14"/>
        <v>23667.271</v>
      </c>
      <c r="AG15" s="105">
        <f>AF15*5%</f>
        <v>1183.36355</v>
      </c>
      <c r="AH15" s="105">
        <f t="shared" si="7"/>
        <v>2479.67519</v>
      </c>
      <c r="AI15" s="106">
        <f aca="true" t="shared" si="22" ref="AI15:AI42">IF((Y15-IF(Z15&gt;0,Z15,0)-IF(AA15&gt;0,AA15,0)-IF(AB15&gt;0,AB15,0))/(AC15-AD15-AE15)&gt;0,(Y15-IF(Z15&gt;0,Z15,0)-IF(AA15&gt;0,AA15,0)-IF(AB15&gt;0,AB15,0))/(AC15-AD15-AE15),0)</f>
        <v>0</v>
      </c>
      <c r="AJ15" s="111"/>
      <c r="AK15" s="107">
        <f>IF(AI15&lt;=0.05,1.5,0)</f>
        <v>1.5</v>
      </c>
      <c r="AL15" s="100">
        <f t="shared" si="8"/>
        <v>1.5</v>
      </c>
      <c r="AM15" s="108">
        <v>11634</v>
      </c>
      <c r="AN15" s="99">
        <v>12266</v>
      </c>
      <c r="AO15" s="116">
        <f t="shared" si="9"/>
        <v>0.9484754606228599</v>
      </c>
      <c r="AP15" s="111"/>
      <c r="AQ15" s="107">
        <f>IF(AO15&lt;=1,1,0)</f>
        <v>1</v>
      </c>
      <c r="AR15" s="109">
        <f t="shared" si="15"/>
        <v>1</v>
      </c>
      <c r="AS15" s="108">
        <v>30263</v>
      </c>
      <c r="AT15" s="99">
        <v>30284</v>
      </c>
      <c r="AU15" s="106">
        <f t="shared" si="10"/>
        <v>0.9993065645225201</v>
      </c>
      <c r="AV15" s="111"/>
      <c r="AW15" s="107">
        <f>IF(AU15&lt;=1,1,0)</f>
        <v>1</v>
      </c>
      <c r="AX15" s="109">
        <f t="shared" si="11"/>
        <v>1</v>
      </c>
      <c r="AY15" s="110">
        <f t="shared" si="16"/>
        <v>6.5</v>
      </c>
      <c r="AZ15" s="112"/>
      <c r="BA15" s="93"/>
      <c r="BB15" s="71"/>
      <c r="BC15" s="85"/>
      <c r="BD15" s="71"/>
      <c r="BE15" s="87"/>
      <c r="BF15" s="87"/>
      <c r="BG15" s="87"/>
      <c r="BH15" s="71"/>
      <c r="BJ15" s="85"/>
      <c r="BK15" s="71"/>
      <c r="BL15" s="87"/>
      <c r="BM15" s="87"/>
      <c r="BN15" s="87"/>
      <c r="BO15" s="71"/>
    </row>
    <row r="16" spans="1:67" s="84" customFormat="1" ht="12.75">
      <c r="A16" s="60" t="s">
        <v>6</v>
      </c>
      <c r="B16" s="37">
        <v>56668.175</v>
      </c>
      <c r="C16" s="37">
        <v>2921.74085</v>
      </c>
      <c r="D16" s="37">
        <v>62714.5</v>
      </c>
      <c r="E16" s="61">
        <f t="shared" si="12"/>
        <v>0.8633671621978638</v>
      </c>
      <c r="F16" s="7">
        <f t="shared" si="17"/>
        <v>1</v>
      </c>
      <c r="G16" s="55"/>
      <c r="H16" s="56">
        <f t="shared" si="0"/>
        <v>1</v>
      </c>
      <c r="I16" s="37">
        <v>56668.2</v>
      </c>
      <c r="J16" s="74">
        <v>978287.72348</v>
      </c>
      <c r="K16" s="94">
        <v>669635.1234800001</v>
      </c>
      <c r="L16" s="37">
        <v>158021.723</v>
      </c>
      <c r="M16" s="37">
        <v>0</v>
      </c>
      <c r="N16" s="61">
        <f t="shared" si="18"/>
        <v>0.3762057363577589</v>
      </c>
      <c r="O16" s="7">
        <f t="shared" si="1"/>
        <v>1</v>
      </c>
      <c r="P16" s="55"/>
      <c r="Q16" s="56">
        <f t="shared" si="2"/>
        <v>1</v>
      </c>
      <c r="R16" s="34">
        <v>5245.2</v>
      </c>
      <c r="S16" s="37">
        <v>981209.46433</v>
      </c>
      <c r="T16" s="53">
        <v>518085.90661</v>
      </c>
      <c r="U16" s="61">
        <f t="shared" si="3"/>
        <v>0.011325703287093845</v>
      </c>
      <c r="V16" s="7">
        <f t="shared" si="4"/>
        <v>1</v>
      </c>
      <c r="W16" s="55"/>
      <c r="X16" s="56">
        <f t="shared" si="13"/>
        <v>1</v>
      </c>
      <c r="Y16" s="37">
        <v>2921.74085</v>
      </c>
      <c r="Z16" s="35"/>
      <c r="AA16" s="35">
        <v>8968.065849999999</v>
      </c>
      <c r="AB16" s="35">
        <v>0</v>
      </c>
      <c r="AC16" s="35">
        <f t="shared" si="5"/>
        <v>978287.72348</v>
      </c>
      <c r="AD16" s="35">
        <f t="shared" si="5"/>
        <v>669635.1234800001</v>
      </c>
      <c r="AE16" s="35">
        <f t="shared" si="5"/>
        <v>158021.723</v>
      </c>
      <c r="AF16" s="35">
        <f t="shared" si="14"/>
        <v>150630.87699999998</v>
      </c>
      <c r="AG16" s="54">
        <f t="shared" si="6"/>
        <v>15063.087699999998</v>
      </c>
      <c r="AH16" s="35">
        <f>IF(AA16&gt;0,AA16,0)+AG16+IF(AB16&gt;0,AB16,0)</f>
        <v>24031.153549999995</v>
      </c>
      <c r="AI16" s="77">
        <f>IF((Y16-IF(Z16&gt;0,Z16,0)-IF(AA16&gt;0,AA16,0)-IF(AB16&gt;0,AB16,0))/(AC16-AD16-AE16)&gt;0,(Y16-IF(Z16&gt;0,Z16,0)-IF(AA16&gt;0,AA16,0)-IF(AB16&gt;0,AB16,0))/(AC16-AD16-AE16),0)</f>
        <v>0</v>
      </c>
      <c r="AJ16" s="33">
        <f t="shared" si="19"/>
        <v>1.5</v>
      </c>
      <c r="AK16" s="55"/>
      <c r="AL16" s="56">
        <f t="shared" si="8"/>
        <v>1.5</v>
      </c>
      <c r="AM16" s="57">
        <v>23422</v>
      </c>
      <c r="AN16" s="55">
        <v>27112</v>
      </c>
      <c r="AO16" s="117">
        <f t="shared" si="9"/>
        <v>0.8638979049867217</v>
      </c>
      <c r="AP16" s="32">
        <f t="shared" si="20"/>
        <v>1</v>
      </c>
      <c r="AQ16" s="55"/>
      <c r="AR16" s="80">
        <f t="shared" si="15"/>
        <v>1</v>
      </c>
      <c r="AS16" s="57">
        <v>66597</v>
      </c>
      <c r="AT16" s="55">
        <v>66609</v>
      </c>
      <c r="AU16" s="77">
        <f t="shared" si="10"/>
        <v>0.9998198441652029</v>
      </c>
      <c r="AV16" s="32">
        <f t="shared" si="21"/>
        <v>1</v>
      </c>
      <c r="AW16" s="55"/>
      <c r="AX16" s="80">
        <f t="shared" si="11"/>
        <v>1</v>
      </c>
      <c r="AY16" s="81">
        <f t="shared" si="16"/>
        <v>6.5</v>
      </c>
      <c r="AZ16" s="112"/>
      <c r="BA16" s="93"/>
      <c r="BB16" s="71"/>
      <c r="BC16" s="85"/>
      <c r="BD16" s="71"/>
      <c r="BE16" s="87"/>
      <c r="BF16" s="87"/>
      <c r="BG16" s="87"/>
      <c r="BH16" s="71"/>
      <c r="BJ16" s="85"/>
      <c r="BK16" s="71"/>
      <c r="BL16" s="87"/>
      <c r="BM16" s="87"/>
      <c r="BN16" s="87"/>
      <c r="BO16" s="71"/>
    </row>
    <row r="17" spans="1:67" s="84" customFormat="1" ht="12.75">
      <c r="A17" s="60" t="s">
        <v>7</v>
      </c>
      <c r="B17" s="37">
        <v>0</v>
      </c>
      <c r="C17" s="37">
        <v>0</v>
      </c>
      <c r="D17" s="37">
        <v>0</v>
      </c>
      <c r="E17" s="61">
        <f t="shared" si="12"/>
        <v>0</v>
      </c>
      <c r="F17" s="7">
        <f t="shared" si="17"/>
        <v>1</v>
      </c>
      <c r="G17" s="55"/>
      <c r="H17" s="56">
        <f t="shared" si="0"/>
        <v>1</v>
      </c>
      <c r="I17" s="37">
        <v>0</v>
      </c>
      <c r="J17" s="74">
        <v>299446.6361</v>
      </c>
      <c r="K17" s="94">
        <v>193439.9361</v>
      </c>
      <c r="L17" s="37">
        <v>37863.525</v>
      </c>
      <c r="M17" s="37">
        <v>0</v>
      </c>
      <c r="N17" s="61">
        <f t="shared" si="18"/>
        <v>0</v>
      </c>
      <c r="O17" s="7">
        <f>IF(N17&lt;=1,1,0)</f>
        <v>1</v>
      </c>
      <c r="P17" s="55"/>
      <c r="Q17" s="56">
        <f>O17+P17</f>
        <v>1</v>
      </c>
      <c r="R17" s="34">
        <v>0</v>
      </c>
      <c r="S17" s="37">
        <v>299446.6361</v>
      </c>
      <c r="T17" s="53">
        <v>154854.0521</v>
      </c>
      <c r="U17" s="61">
        <f t="shared" si="3"/>
        <v>0</v>
      </c>
      <c r="V17" s="7">
        <f>IF(U17&lt;=0.15,1,0)</f>
        <v>1</v>
      </c>
      <c r="W17" s="55"/>
      <c r="X17" s="56">
        <f t="shared" si="13"/>
        <v>1</v>
      </c>
      <c r="Y17" s="37">
        <v>0</v>
      </c>
      <c r="Z17" s="35"/>
      <c r="AA17" s="35">
        <v>0</v>
      </c>
      <c r="AB17" s="35">
        <v>0</v>
      </c>
      <c r="AC17" s="35">
        <f t="shared" si="5"/>
        <v>299446.6361</v>
      </c>
      <c r="AD17" s="35">
        <f t="shared" si="5"/>
        <v>193439.9361</v>
      </c>
      <c r="AE17" s="35">
        <f t="shared" si="5"/>
        <v>37863.525</v>
      </c>
      <c r="AF17" s="35">
        <f t="shared" si="14"/>
        <v>68143.17500000002</v>
      </c>
      <c r="AG17" s="54">
        <f t="shared" si="6"/>
        <v>6814.317500000002</v>
      </c>
      <c r="AH17" s="35">
        <f aca="true" t="shared" si="23" ref="AH17:AH42">IF(AA17&gt;0,AA17,0)+AG17+IF(AB17&gt;0,AB17,0)</f>
        <v>6814.317500000002</v>
      </c>
      <c r="AI17" s="77">
        <f t="shared" si="22"/>
        <v>0</v>
      </c>
      <c r="AJ17" s="33">
        <f t="shared" si="19"/>
        <v>1.5</v>
      </c>
      <c r="AK17" s="55"/>
      <c r="AL17" s="56">
        <f t="shared" si="8"/>
        <v>1.5</v>
      </c>
      <c r="AM17" s="57">
        <v>10606</v>
      </c>
      <c r="AN17" s="55">
        <v>11489</v>
      </c>
      <c r="AO17" s="117">
        <f t="shared" si="9"/>
        <v>0.9231438767516755</v>
      </c>
      <c r="AP17" s="32">
        <f t="shared" si="20"/>
        <v>1</v>
      </c>
      <c r="AQ17" s="55"/>
      <c r="AR17" s="80">
        <f>AP17+AQ17</f>
        <v>1</v>
      </c>
      <c r="AS17" s="57">
        <v>26322</v>
      </c>
      <c r="AT17" s="55">
        <v>27189</v>
      </c>
      <c r="AU17" s="77">
        <f t="shared" si="10"/>
        <v>0.9681121041597704</v>
      </c>
      <c r="AV17" s="32">
        <f t="shared" si="21"/>
        <v>1</v>
      </c>
      <c r="AW17" s="55"/>
      <c r="AX17" s="80">
        <f t="shared" si="11"/>
        <v>1</v>
      </c>
      <c r="AY17" s="81">
        <f t="shared" si="16"/>
        <v>6.5</v>
      </c>
      <c r="AZ17" s="112"/>
      <c r="BA17" s="93"/>
      <c r="BB17" s="71"/>
      <c r="BC17" s="85"/>
      <c r="BD17" s="71"/>
      <c r="BE17" s="87"/>
      <c r="BF17" s="87"/>
      <c r="BG17" s="87"/>
      <c r="BH17" s="71"/>
      <c r="BJ17" s="85"/>
      <c r="BK17" s="71"/>
      <c r="BL17" s="87"/>
      <c r="BM17" s="87"/>
      <c r="BN17" s="87"/>
      <c r="BO17" s="71"/>
    </row>
    <row r="18" spans="1:67" s="84" customFormat="1" ht="12.75">
      <c r="A18" s="95" t="s">
        <v>8</v>
      </c>
      <c r="B18" s="96">
        <v>0</v>
      </c>
      <c r="C18" s="96">
        <v>0</v>
      </c>
      <c r="D18" s="96">
        <v>0</v>
      </c>
      <c r="E18" s="97">
        <f t="shared" si="12"/>
        <v>0</v>
      </c>
      <c r="F18" s="98"/>
      <c r="G18" s="99">
        <f aca="true" t="shared" si="24" ref="G18:G23">IF(E18&lt;=1.05,1,0)</f>
        <v>1</v>
      </c>
      <c r="H18" s="100">
        <f t="shared" si="0"/>
        <v>1</v>
      </c>
      <c r="I18" s="96">
        <v>0</v>
      </c>
      <c r="J18" s="101">
        <v>191911.81275</v>
      </c>
      <c r="K18" s="102">
        <v>157790.50775</v>
      </c>
      <c r="L18" s="96">
        <v>17884.961</v>
      </c>
      <c r="M18" s="96">
        <v>0</v>
      </c>
      <c r="N18" s="97">
        <f t="shared" si="18"/>
        <v>0</v>
      </c>
      <c r="O18" s="98"/>
      <c r="P18" s="99">
        <f aca="true" t="shared" si="25" ref="P18:P23">IF(N18&lt;=0.5,1,0)</f>
        <v>1</v>
      </c>
      <c r="Q18" s="100">
        <f t="shared" si="2"/>
        <v>1</v>
      </c>
      <c r="R18" s="103">
        <v>0</v>
      </c>
      <c r="S18" s="96">
        <v>191911.81275</v>
      </c>
      <c r="T18" s="104">
        <v>94767.17075</v>
      </c>
      <c r="U18" s="97">
        <f t="shared" si="3"/>
        <v>0</v>
      </c>
      <c r="V18" s="98"/>
      <c r="W18" s="99">
        <f aca="true" t="shared" si="26" ref="W18:W23">IF(U18&lt;=0.15,1,0)</f>
        <v>1</v>
      </c>
      <c r="X18" s="100">
        <f t="shared" si="13"/>
        <v>1</v>
      </c>
      <c r="Y18" s="96">
        <v>0</v>
      </c>
      <c r="Z18" s="105"/>
      <c r="AA18" s="105">
        <v>0</v>
      </c>
      <c r="AB18" s="105">
        <v>0</v>
      </c>
      <c r="AC18" s="105">
        <f t="shared" si="5"/>
        <v>191911.81275</v>
      </c>
      <c r="AD18" s="105">
        <f t="shared" si="5"/>
        <v>157790.50775</v>
      </c>
      <c r="AE18" s="105">
        <f t="shared" si="5"/>
        <v>17884.961</v>
      </c>
      <c r="AF18" s="105">
        <f t="shared" si="14"/>
        <v>16236.344000000023</v>
      </c>
      <c r="AG18" s="105">
        <f>AF18*5%</f>
        <v>811.8172000000012</v>
      </c>
      <c r="AH18" s="105">
        <f t="shared" si="23"/>
        <v>811.8172000000012</v>
      </c>
      <c r="AI18" s="106">
        <f t="shared" si="22"/>
        <v>0</v>
      </c>
      <c r="AJ18" s="98"/>
      <c r="AK18" s="107">
        <f>IF(AI18&lt;=0.05,1.5,0)</f>
        <v>1.5</v>
      </c>
      <c r="AL18" s="100">
        <f t="shared" si="8"/>
        <v>1.5</v>
      </c>
      <c r="AM18" s="108">
        <v>7454</v>
      </c>
      <c r="AN18" s="99">
        <v>10906</v>
      </c>
      <c r="AO18" s="116">
        <f t="shared" si="9"/>
        <v>0.6834769851457914</v>
      </c>
      <c r="AP18" s="98"/>
      <c r="AQ18" s="107">
        <f aca="true" t="shared" si="27" ref="AQ18:AQ34">IF(AO18&lt;=1,1,0)</f>
        <v>1</v>
      </c>
      <c r="AR18" s="109">
        <f t="shared" si="15"/>
        <v>1</v>
      </c>
      <c r="AS18" s="108">
        <v>20550</v>
      </c>
      <c r="AT18" s="99">
        <v>27242</v>
      </c>
      <c r="AU18" s="106">
        <f t="shared" si="10"/>
        <v>0.7543499008883342</v>
      </c>
      <c r="AV18" s="98"/>
      <c r="AW18" s="107">
        <f aca="true" t="shared" si="28" ref="AW18:AW34">IF(AU18&lt;=1,1,0)</f>
        <v>1</v>
      </c>
      <c r="AX18" s="109">
        <f t="shared" si="11"/>
        <v>1</v>
      </c>
      <c r="AY18" s="110">
        <f t="shared" si="16"/>
        <v>6.5</v>
      </c>
      <c r="AZ18" s="112"/>
      <c r="BA18" s="93"/>
      <c r="BB18" s="71"/>
      <c r="BC18" s="85"/>
      <c r="BD18" s="71"/>
      <c r="BE18" s="87"/>
      <c r="BF18" s="87"/>
      <c r="BG18" s="87"/>
      <c r="BH18" s="71"/>
      <c r="BJ18" s="85"/>
      <c r="BK18" s="71"/>
      <c r="BL18" s="87"/>
      <c r="BM18" s="87"/>
      <c r="BN18" s="87"/>
      <c r="BO18" s="71"/>
    </row>
    <row r="19" spans="1:67" s="84" customFormat="1" ht="12.75">
      <c r="A19" s="95" t="s">
        <v>9</v>
      </c>
      <c r="B19" s="96">
        <v>0</v>
      </c>
      <c r="C19" s="96">
        <v>2835.61229</v>
      </c>
      <c r="D19" s="96">
        <v>0</v>
      </c>
      <c r="E19" s="97">
        <f t="shared" si="12"/>
        <v>0</v>
      </c>
      <c r="F19" s="98"/>
      <c r="G19" s="99">
        <f t="shared" si="24"/>
        <v>1</v>
      </c>
      <c r="H19" s="100">
        <f t="shared" si="0"/>
        <v>1</v>
      </c>
      <c r="I19" s="96">
        <v>0</v>
      </c>
      <c r="J19" s="101">
        <v>250500.81397</v>
      </c>
      <c r="K19" s="102">
        <v>174193.81397</v>
      </c>
      <c r="L19" s="96">
        <v>43560.857</v>
      </c>
      <c r="M19" s="96">
        <v>0</v>
      </c>
      <c r="N19" s="97">
        <f t="shared" si="18"/>
        <v>0</v>
      </c>
      <c r="O19" s="98"/>
      <c r="P19" s="99">
        <f t="shared" si="25"/>
        <v>1</v>
      </c>
      <c r="Q19" s="100">
        <f t="shared" si="2"/>
        <v>1</v>
      </c>
      <c r="R19" s="103">
        <v>0</v>
      </c>
      <c r="S19" s="96">
        <v>253336.42625999998</v>
      </c>
      <c r="T19" s="104">
        <v>125050.84097</v>
      </c>
      <c r="U19" s="97">
        <f t="shared" si="3"/>
        <v>0</v>
      </c>
      <c r="V19" s="98"/>
      <c r="W19" s="99">
        <f t="shared" si="26"/>
        <v>1</v>
      </c>
      <c r="X19" s="100">
        <f t="shared" si="13"/>
        <v>1</v>
      </c>
      <c r="Y19" s="96">
        <v>2835.61229</v>
      </c>
      <c r="Z19" s="105"/>
      <c r="AA19" s="105">
        <v>2835.61229</v>
      </c>
      <c r="AB19" s="105">
        <v>0</v>
      </c>
      <c r="AC19" s="105">
        <f t="shared" si="5"/>
        <v>250500.81397</v>
      </c>
      <c r="AD19" s="105">
        <f t="shared" si="5"/>
        <v>174193.81397</v>
      </c>
      <c r="AE19" s="105">
        <f t="shared" si="5"/>
        <v>43560.857</v>
      </c>
      <c r="AF19" s="105">
        <f t="shared" si="14"/>
        <v>32746.142999999996</v>
      </c>
      <c r="AG19" s="105">
        <f>AF19*10%</f>
        <v>3274.6142999999997</v>
      </c>
      <c r="AH19" s="105">
        <f t="shared" si="23"/>
        <v>6110.22659</v>
      </c>
      <c r="AI19" s="106">
        <f t="shared" si="22"/>
        <v>0</v>
      </c>
      <c r="AJ19" s="111"/>
      <c r="AK19" s="107">
        <f aca="true" t="shared" si="29" ref="AK19:AK34">IF(AI19&lt;=0.05,1.5,0)</f>
        <v>1.5</v>
      </c>
      <c r="AL19" s="100">
        <f t="shared" si="8"/>
        <v>1.5</v>
      </c>
      <c r="AM19" s="108">
        <v>11444</v>
      </c>
      <c r="AN19" s="99">
        <v>12266</v>
      </c>
      <c r="AO19" s="116">
        <f t="shared" si="9"/>
        <v>0.9329854883417577</v>
      </c>
      <c r="AP19" s="111"/>
      <c r="AQ19" s="107">
        <f t="shared" si="27"/>
        <v>1</v>
      </c>
      <c r="AR19" s="109">
        <f t="shared" si="15"/>
        <v>1</v>
      </c>
      <c r="AS19" s="108">
        <v>29287</v>
      </c>
      <c r="AT19" s="99">
        <v>30284</v>
      </c>
      <c r="AU19" s="106">
        <f t="shared" si="10"/>
        <v>0.9670783251882182</v>
      </c>
      <c r="AV19" s="111"/>
      <c r="AW19" s="107">
        <f t="shared" si="28"/>
        <v>1</v>
      </c>
      <c r="AX19" s="109">
        <f t="shared" si="11"/>
        <v>1</v>
      </c>
      <c r="AY19" s="110">
        <f t="shared" si="16"/>
        <v>6.5</v>
      </c>
      <c r="AZ19" s="112"/>
      <c r="BA19" s="93"/>
      <c r="BB19" s="71"/>
      <c r="BC19" s="85"/>
      <c r="BD19" s="71"/>
      <c r="BE19" s="87"/>
      <c r="BF19" s="87"/>
      <c r="BG19" s="87"/>
      <c r="BH19" s="71"/>
      <c r="BJ19" s="85"/>
      <c r="BK19" s="71"/>
      <c r="BL19" s="87"/>
      <c r="BM19" s="87"/>
      <c r="BN19" s="87"/>
      <c r="BO19" s="71"/>
    </row>
    <row r="20" spans="1:67" s="84" customFormat="1" ht="12.75">
      <c r="A20" s="95" t="s">
        <v>10</v>
      </c>
      <c r="B20" s="96">
        <v>0</v>
      </c>
      <c r="C20" s="96">
        <v>6030.40075</v>
      </c>
      <c r="D20" s="96">
        <v>0</v>
      </c>
      <c r="E20" s="97">
        <f t="shared" si="12"/>
        <v>0</v>
      </c>
      <c r="F20" s="98"/>
      <c r="G20" s="99">
        <f t="shared" si="24"/>
        <v>1</v>
      </c>
      <c r="H20" s="100">
        <f t="shared" si="0"/>
        <v>1</v>
      </c>
      <c r="I20" s="96">
        <v>0</v>
      </c>
      <c r="J20" s="101">
        <v>138273.68785</v>
      </c>
      <c r="K20" s="102">
        <v>89023.57185</v>
      </c>
      <c r="L20" s="96">
        <v>30620.263</v>
      </c>
      <c r="M20" s="96">
        <v>0</v>
      </c>
      <c r="N20" s="97">
        <f t="shared" si="18"/>
        <v>0</v>
      </c>
      <c r="O20" s="98"/>
      <c r="P20" s="99">
        <f t="shared" si="25"/>
        <v>1</v>
      </c>
      <c r="Q20" s="100">
        <f t="shared" si="2"/>
        <v>1</v>
      </c>
      <c r="R20" s="103">
        <v>0</v>
      </c>
      <c r="S20" s="96">
        <v>144304.0886</v>
      </c>
      <c r="T20" s="104">
        <v>64388.072850000004</v>
      </c>
      <c r="U20" s="97">
        <f t="shared" si="3"/>
        <v>0</v>
      </c>
      <c r="V20" s="98"/>
      <c r="W20" s="99">
        <f t="shared" si="26"/>
        <v>1</v>
      </c>
      <c r="X20" s="100">
        <f t="shared" si="13"/>
        <v>1</v>
      </c>
      <c r="Y20" s="96">
        <v>6030.40075</v>
      </c>
      <c r="Z20" s="105"/>
      <c r="AA20" s="105">
        <v>6030.40075</v>
      </c>
      <c r="AB20" s="105">
        <v>0</v>
      </c>
      <c r="AC20" s="105">
        <f t="shared" si="5"/>
        <v>138273.68785</v>
      </c>
      <c r="AD20" s="105">
        <f t="shared" si="5"/>
        <v>89023.57185</v>
      </c>
      <c r="AE20" s="105">
        <f t="shared" si="5"/>
        <v>30620.263</v>
      </c>
      <c r="AF20" s="105">
        <f t="shared" si="14"/>
        <v>18629.852999999996</v>
      </c>
      <c r="AG20" s="105">
        <f>AF20*5%</f>
        <v>931.4926499999998</v>
      </c>
      <c r="AH20" s="105">
        <f t="shared" si="23"/>
        <v>6961.8934</v>
      </c>
      <c r="AI20" s="106">
        <f t="shared" si="22"/>
        <v>0</v>
      </c>
      <c r="AJ20" s="98"/>
      <c r="AK20" s="107">
        <f t="shared" si="29"/>
        <v>1.5</v>
      </c>
      <c r="AL20" s="100">
        <f t="shared" si="8"/>
        <v>1.5</v>
      </c>
      <c r="AM20" s="108">
        <v>7230</v>
      </c>
      <c r="AN20" s="99">
        <v>9971</v>
      </c>
      <c r="AO20" s="116">
        <f t="shared" si="9"/>
        <v>0.7251027981145322</v>
      </c>
      <c r="AP20" s="98"/>
      <c r="AQ20" s="107">
        <f t="shared" si="27"/>
        <v>1</v>
      </c>
      <c r="AR20" s="109">
        <f t="shared" si="15"/>
        <v>1</v>
      </c>
      <c r="AS20" s="108">
        <v>20070</v>
      </c>
      <c r="AT20" s="99">
        <v>25171</v>
      </c>
      <c r="AU20" s="106">
        <f t="shared" si="10"/>
        <v>0.7973461523181439</v>
      </c>
      <c r="AV20" s="98"/>
      <c r="AW20" s="107">
        <f t="shared" si="28"/>
        <v>1</v>
      </c>
      <c r="AX20" s="109">
        <f t="shared" si="11"/>
        <v>1</v>
      </c>
      <c r="AY20" s="110">
        <f t="shared" si="16"/>
        <v>6.5</v>
      </c>
      <c r="AZ20" s="112"/>
      <c r="BA20" s="93"/>
      <c r="BB20" s="71"/>
      <c r="BC20" s="85"/>
      <c r="BD20" s="71"/>
      <c r="BE20" s="87"/>
      <c r="BF20" s="87"/>
      <c r="BG20" s="87"/>
      <c r="BH20" s="71"/>
      <c r="BJ20" s="85"/>
      <c r="BK20" s="71"/>
      <c r="BL20" s="87"/>
      <c r="BM20" s="87"/>
      <c r="BN20" s="87"/>
      <c r="BO20" s="71"/>
    </row>
    <row r="21" spans="1:67" s="84" customFormat="1" ht="12.75">
      <c r="A21" s="95" t="s">
        <v>11</v>
      </c>
      <c r="B21" s="96">
        <v>0</v>
      </c>
      <c r="C21" s="96">
        <v>4758.411440000001</v>
      </c>
      <c r="D21" s="96">
        <v>0</v>
      </c>
      <c r="E21" s="97">
        <f t="shared" si="12"/>
        <v>0</v>
      </c>
      <c r="F21" s="98"/>
      <c r="G21" s="99">
        <f t="shared" si="24"/>
        <v>1</v>
      </c>
      <c r="H21" s="100">
        <f t="shared" si="0"/>
        <v>1</v>
      </c>
      <c r="I21" s="96">
        <v>0</v>
      </c>
      <c r="J21" s="101">
        <v>457062.31747</v>
      </c>
      <c r="K21" s="102">
        <v>329223.41747000004</v>
      </c>
      <c r="L21" s="96">
        <v>76161.5</v>
      </c>
      <c r="M21" s="96">
        <v>0</v>
      </c>
      <c r="N21" s="97">
        <f t="shared" si="18"/>
        <v>0</v>
      </c>
      <c r="O21" s="98"/>
      <c r="P21" s="99">
        <f t="shared" si="25"/>
        <v>1</v>
      </c>
      <c r="Q21" s="100">
        <f t="shared" si="2"/>
        <v>1</v>
      </c>
      <c r="R21" s="103">
        <v>0</v>
      </c>
      <c r="S21" s="96">
        <v>461820.72891</v>
      </c>
      <c r="T21" s="104">
        <v>223397.51356</v>
      </c>
      <c r="U21" s="97">
        <f t="shared" si="3"/>
        <v>0</v>
      </c>
      <c r="V21" s="98"/>
      <c r="W21" s="99">
        <f t="shared" si="26"/>
        <v>1</v>
      </c>
      <c r="X21" s="100">
        <f t="shared" si="13"/>
        <v>1</v>
      </c>
      <c r="Y21" s="96">
        <v>4758.411440000001</v>
      </c>
      <c r="Z21" s="105"/>
      <c r="AA21" s="105">
        <v>4758.411440000001</v>
      </c>
      <c r="AB21" s="105">
        <v>0</v>
      </c>
      <c r="AC21" s="105">
        <f t="shared" si="5"/>
        <v>457062.31747</v>
      </c>
      <c r="AD21" s="105">
        <f t="shared" si="5"/>
        <v>329223.41747000004</v>
      </c>
      <c r="AE21" s="105">
        <f t="shared" si="5"/>
        <v>76161.5</v>
      </c>
      <c r="AF21" s="105">
        <f t="shared" si="14"/>
        <v>51677.399999999965</v>
      </c>
      <c r="AG21" s="105">
        <f>AF21*10%</f>
        <v>5167.739999999997</v>
      </c>
      <c r="AH21" s="105">
        <f t="shared" si="23"/>
        <v>9926.151439999998</v>
      </c>
      <c r="AI21" s="106">
        <f t="shared" si="22"/>
        <v>0</v>
      </c>
      <c r="AJ21" s="111"/>
      <c r="AK21" s="107">
        <f t="shared" si="29"/>
        <v>1.5</v>
      </c>
      <c r="AL21" s="100">
        <f t="shared" si="8"/>
        <v>1.5</v>
      </c>
      <c r="AM21" s="108">
        <v>16666</v>
      </c>
      <c r="AN21" s="99">
        <v>17572</v>
      </c>
      <c r="AO21" s="116">
        <f t="shared" si="9"/>
        <v>0.9484407011154109</v>
      </c>
      <c r="AP21" s="111"/>
      <c r="AQ21" s="107">
        <f t="shared" si="27"/>
        <v>1</v>
      </c>
      <c r="AR21" s="109">
        <f t="shared" si="15"/>
        <v>1</v>
      </c>
      <c r="AS21" s="108">
        <v>38006</v>
      </c>
      <c r="AT21" s="99">
        <v>40219</v>
      </c>
      <c r="AU21" s="106">
        <f t="shared" si="10"/>
        <v>0.9449762550038538</v>
      </c>
      <c r="AV21" s="111"/>
      <c r="AW21" s="107">
        <f t="shared" si="28"/>
        <v>1</v>
      </c>
      <c r="AX21" s="109">
        <f t="shared" si="11"/>
        <v>1</v>
      </c>
      <c r="AY21" s="110">
        <f t="shared" si="16"/>
        <v>6.5</v>
      </c>
      <c r="AZ21" s="112"/>
      <c r="BA21" s="93"/>
      <c r="BB21" s="71"/>
      <c r="BC21" s="85"/>
      <c r="BD21" s="71"/>
      <c r="BE21" s="87"/>
      <c r="BF21" s="87"/>
      <c r="BG21" s="87"/>
      <c r="BH21" s="71"/>
      <c r="BJ21" s="85"/>
      <c r="BK21" s="71"/>
      <c r="BL21" s="87"/>
      <c r="BM21" s="87"/>
      <c r="BN21" s="87"/>
      <c r="BO21" s="71"/>
    </row>
    <row r="22" spans="1:67" s="84" customFormat="1" ht="12.75">
      <c r="A22" s="95" t="s">
        <v>12</v>
      </c>
      <c r="B22" s="96">
        <v>0</v>
      </c>
      <c r="C22" s="96">
        <v>1869.0291599999998</v>
      </c>
      <c r="D22" s="96">
        <v>0</v>
      </c>
      <c r="E22" s="97">
        <f t="shared" si="12"/>
        <v>0</v>
      </c>
      <c r="F22" s="98"/>
      <c r="G22" s="99">
        <f t="shared" si="24"/>
        <v>1</v>
      </c>
      <c r="H22" s="100">
        <f t="shared" si="0"/>
        <v>1</v>
      </c>
      <c r="I22" s="96">
        <v>0</v>
      </c>
      <c r="J22" s="101">
        <v>188014.8648</v>
      </c>
      <c r="K22" s="102">
        <v>146513.8648</v>
      </c>
      <c r="L22" s="96">
        <v>29908.375</v>
      </c>
      <c r="M22" s="96">
        <v>0</v>
      </c>
      <c r="N22" s="97">
        <f t="shared" si="18"/>
        <v>0</v>
      </c>
      <c r="O22" s="98"/>
      <c r="P22" s="99">
        <f t="shared" si="25"/>
        <v>1</v>
      </c>
      <c r="Q22" s="100">
        <f t="shared" si="2"/>
        <v>1</v>
      </c>
      <c r="R22" s="103">
        <v>0</v>
      </c>
      <c r="S22" s="96">
        <v>189883.89396000002</v>
      </c>
      <c r="T22" s="104">
        <v>96426.7448</v>
      </c>
      <c r="U22" s="97">
        <f t="shared" si="3"/>
        <v>0</v>
      </c>
      <c r="V22" s="98"/>
      <c r="W22" s="99">
        <f t="shared" si="26"/>
        <v>1</v>
      </c>
      <c r="X22" s="100">
        <f t="shared" si="13"/>
        <v>1</v>
      </c>
      <c r="Y22" s="96">
        <v>1869.0291599999998</v>
      </c>
      <c r="Z22" s="105"/>
      <c r="AA22" s="105">
        <v>1869.0291599999998</v>
      </c>
      <c r="AB22" s="105">
        <v>0</v>
      </c>
      <c r="AC22" s="105">
        <f t="shared" si="5"/>
        <v>188014.8648</v>
      </c>
      <c r="AD22" s="105">
        <f t="shared" si="5"/>
        <v>146513.8648</v>
      </c>
      <c r="AE22" s="105">
        <f t="shared" si="5"/>
        <v>29908.375</v>
      </c>
      <c r="AF22" s="105">
        <f t="shared" si="14"/>
        <v>11592.625</v>
      </c>
      <c r="AG22" s="105">
        <f>AF22*5%</f>
        <v>579.63125</v>
      </c>
      <c r="AH22" s="105">
        <f t="shared" si="23"/>
        <v>2448.66041</v>
      </c>
      <c r="AI22" s="106">
        <f t="shared" si="22"/>
        <v>0</v>
      </c>
      <c r="AJ22" s="98"/>
      <c r="AK22" s="107">
        <f t="shared" si="29"/>
        <v>1.5</v>
      </c>
      <c r="AL22" s="100">
        <f t="shared" si="8"/>
        <v>1.5</v>
      </c>
      <c r="AM22" s="108">
        <v>9390</v>
      </c>
      <c r="AN22" s="99">
        <v>10906</v>
      </c>
      <c r="AO22" s="116">
        <f t="shared" si="9"/>
        <v>0.8609939482853475</v>
      </c>
      <c r="AP22" s="98"/>
      <c r="AQ22" s="107">
        <f t="shared" si="27"/>
        <v>1</v>
      </c>
      <c r="AR22" s="109">
        <f t="shared" si="15"/>
        <v>1</v>
      </c>
      <c r="AS22" s="108">
        <v>25267</v>
      </c>
      <c r="AT22" s="99">
        <v>27242</v>
      </c>
      <c r="AU22" s="106">
        <f t="shared" si="10"/>
        <v>0.9275016518610968</v>
      </c>
      <c r="AV22" s="98"/>
      <c r="AW22" s="107">
        <f t="shared" si="28"/>
        <v>1</v>
      </c>
      <c r="AX22" s="109">
        <f t="shared" si="11"/>
        <v>1</v>
      </c>
      <c r="AY22" s="110">
        <f t="shared" si="16"/>
        <v>6.5</v>
      </c>
      <c r="AZ22" s="112"/>
      <c r="BA22" s="93"/>
      <c r="BB22" s="71"/>
      <c r="BC22" s="85"/>
      <c r="BD22" s="71"/>
      <c r="BE22" s="87"/>
      <c r="BF22" s="87"/>
      <c r="BG22" s="87"/>
      <c r="BH22" s="71"/>
      <c r="BJ22" s="85"/>
      <c r="BK22" s="71"/>
      <c r="BL22" s="87"/>
      <c r="BM22" s="87"/>
      <c r="BN22" s="87"/>
      <c r="BO22" s="71"/>
    </row>
    <row r="23" spans="1:67" s="84" customFormat="1" ht="12.75">
      <c r="A23" s="95" t="s">
        <v>13</v>
      </c>
      <c r="B23" s="96">
        <v>0</v>
      </c>
      <c r="C23" s="96">
        <v>4827.691559999999</v>
      </c>
      <c r="D23" s="96">
        <v>0</v>
      </c>
      <c r="E23" s="97">
        <f t="shared" si="12"/>
        <v>0</v>
      </c>
      <c r="F23" s="98"/>
      <c r="G23" s="99">
        <f t="shared" si="24"/>
        <v>1</v>
      </c>
      <c r="H23" s="100">
        <f t="shared" si="0"/>
        <v>1</v>
      </c>
      <c r="I23" s="96">
        <v>0</v>
      </c>
      <c r="J23" s="101">
        <v>449234.20006</v>
      </c>
      <c r="K23" s="102">
        <v>290309.58006</v>
      </c>
      <c r="L23" s="96">
        <v>94562.374</v>
      </c>
      <c r="M23" s="96">
        <v>0</v>
      </c>
      <c r="N23" s="97">
        <f t="shared" si="18"/>
        <v>0</v>
      </c>
      <c r="O23" s="98"/>
      <c r="P23" s="99">
        <f t="shared" si="25"/>
        <v>1</v>
      </c>
      <c r="Q23" s="100">
        <f t="shared" si="2"/>
        <v>1</v>
      </c>
      <c r="R23" s="103">
        <v>0</v>
      </c>
      <c r="S23" s="96">
        <v>454061.89162</v>
      </c>
      <c r="T23" s="104">
        <v>216244.36162</v>
      </c>
      <c r="U23" s="97">
        <f t="shared" si="3"/>
        <v>0</v>
      </c>
      <c r="V23" s="98"/>
      <c r="W23" s="99">
        <f t="shared" si="26"/>
        <v>1</v>
      </c>
      <c r="X23" s="100">
        <f t="shared" si="13"/>
        <v>1</v>
      </c>
      <c r="Y23" s="96">
        <v>4827.691559999999</v>
      </c>
      <c r="Z23" s="105"/>
      <c r="AA23" s="105">
        <v>4827.691559999999</v>
      </c>
      <c r="AB23" s="105">
        <v>0</v>
      </c>
      <c r="AC23" s="105">
        <f t="shared" si="5"/>
        <v>449234.20006</v>
      </c>
      <c r="AD23" s="105">
        <f t="shared" si="5"/>
        <v>290309.58006</v>
      </c>
      <c r="AE23" s="105">
        <f t="shared" si="5"/>
        <v>94562.374</v>
      </c>
      <c r="AF23" s="105">
        <f t="shared" si="14"/>
        <v>64362.246</v>
      </c>
      <c r="AG23" s="105">
        <f>AF23*10%</f>
        <v>6436.2246000000005</v>
      </c>
      <c r="AH23" s="105">
        <f t="shared" si="23"/>
        <v>11263.91616</v>
      </c>
      <c r="AI23" s="106">
        <f t="shared" si="22"/>
        <v>0</v>
      </c>
      <c r="AJ23" s="111"/>
      <c r="AK23" s="107">
        <f t="shared" si="29"/>
        <v>1.5</v>
      </c>
      <c r="AL23" s="100">
        <f t="shared" si="8"/>
        <v>1.5</v>
      </c>
      <c r="AM23" s="108">
        <v>16080</v>
      </c>
      <c r="AN23" s="99">
        <v>17572</v>
      </c>
      <c r="AO23" s="116">
        <f t="shared" si="9"/>
        <v>0.9150921921238334</v>
      </c>
      <c r="AP23" s="111"/>
      <c r="AQ23" s="107">
        <f t="shared" si="27"/>
        <v>1</v>
      </c>
      <c r="AR23" s="109">
        <f t="shared" si="15"/>
        <v>1</v>
      </c>
      <c r="AS23" s="108">
        <v>39761</v>
      </c>
      <c r="AT23" s="99">
        <v>40219</v>
      </c>
      <c r="AU23" s="106">
        <f t="shared" si="10"/>
        <v>0.988612347397996</v>
      </c>
      <c r="AV23" s="111"/>
      <c r="AW23" s="107">
        <f t="shared" si="28"/>
        <v>1</v>
      </c>
      <c r="AX23" s="109">
        <f t="shared" si="11"/>
        <v>1</v>
      </c>
      <c r="AY23" s="110">
        <f t="shared" si="16"/>
        <v>6.5</v>
      </c>
      <c r="AZ23" s="112"/>
      <c r="BA23" s="93"/>
      <c r="BB23" s="71"/>
      <c r="BC23" s="85"/>
      <c r="BD23" s="71"/>
      <c r="BE23" s="87"/>
      <c r="BF23" s="87"/>
      <c r="BG23" s="87"/>
      <c r="BH23" s="71"/>
      <c r="BJ23" s="85"/>
      <c r="BK23" s="71"/>
      <c r="BL23" s="87"/>
      <c r="BM23" s="87"/>
      <c r="BN23" s="87"/>
      <c r="BO23" s="71"/>
    </row>
    <row r="24" spans="1:67" s="84" customFormat="1" ht="12.75">
      <c r="A24" s="95" t="s">
        <v>14</v>
      </c>
      <c r="B24" s="96">
        <v>0</v>
      </c>
      <c r="C24" s="96">
        <v>12029.476050000001</v>
      </c>
      <c r="D24" s="96">
        <v>0</v>
      </c>
      <c r="E24" s="97">
        <f t="shared" si="12"/>
        <v>0</v>
      </c>
      <c r="F24" s="98"/>
      <c r="G24" s="99">
        <f>IF(E24&lt;=1.05,1,0)</f>
        <v>1</v>
      </c>
      <c r="H24" s="100">
        <f t="shared" si="0"/>
        <v>1</v>
      </c>
      <c r="I24" s="96">
        <v>0</v>
      </c>
      <c r="J24" s="101">
        <v>249149.62441</v>
      </c>
      <c r="K24" s="102">
        <v>194091.82441</v>
      </c>
      <c r="L24" s="96">
        <v>35012.167</v>
      </c>
      <c r="M24" s="96">
        <v>0</v>
      </c>
      <c r="N24" s="97">
        <f t="shared" si="18"/>
        <v>0</v>
      </c>
      <c r="O24" s="98"/>
      <c r="P24" s="99">
        <f>IF(N24&lt;=0.5,1,0)</f>
        <v>1</v>
      </c>
      <c r="Q24" s="100">
        <f t="shared" si="2"/>
        <v>1</v>
      </c>
      <c r="R24" s="103">
        <v>0</v>
      </c>
      <c r="S24" s="96">
        <v>261179.10046000002</v>
      </c>
      <c r="T24" s="104">
        <v>115536.97641</v>
      </c>
      <c r="U24" s="97">
        <f t="shared" si="3"/>
        <v>0</v>
      </c>
      <c r="V24" s="98"/>
      <c r="W24" s="99">
        <f>IF(U24&lt;=0.15,1,0)</f>
        <v>1</v>
      </c>
      <c r="X24" s="100">
        <f t="shared" si="13"/>
        <v>1</v>
      </c>
      <c r="Y24" s="96">
        <v>12029.476050000001</v>
      </c>
      <c r="Z24" s="105"/>
      <c r="AA24" s="105">
        <v>12029.476050000001</v>
      </c>
      <c r="AB24" s="105">
        <v>0</v>
      </c>
      <c r="AC24" s="105">
        <f t="shared" si="5"/>
        <v>249149.62441</v>
      </c>
      <c r="AD24" s="105">
        <f t="shared" si="5"/>
        <v>194091.82441</v>
      </c>
      <c r="AE24" s="105">
        <f t="shared" si="5"/>
        <v>35012.167</v>
      </c>
      <c r="AF24" s="105">
        <f t="shared" si="14"/>
        <v>20045.632999999987</v>
      </c>
      <c r="AG24" s="105">
        <f aca="true" t="shared" si="30" ref="AG24:AG32">AF24*5%</f>
        <v>1002.2816499999994</v>
      </c>
      <c r="AH24" s="105">
        <f t="shared" si="23"/>
        <v>13031.7577</v>
      </c>
      <c r="AI24" s="106">
        <f t="shared" si="22"/>
        <v>0</v>
      </c>
      <c r="AJ24" s="111"/>
      <c r="AK24" s="107">
        <f t="shared" si="29"/>
        <v>1.5</v>
      </c>
      <c r="AL24" s="100">
        <f t="shared" si="8"/>
        <v>1.5</v>
      </c>
      <c r="AM24" s="108">
        <v>9361</v>
      </c>
      <c r="AN24" s="99">
        <v>12266</v>
      </c>
      <c r="AO24" s="116">
        <f t="shared" si="9"/>
        <v>0.7631664764389369</v>
      </c>
      <c r="AP24" s="111"/>
      <c r="AQ24" s="107">
        <f t="shared" si="27"/>
        <v>1</v>
      </c>
      <c r="AR24" s="109">
        <f>AP24+AQ24</f>
        <v>1</v>
      </c>
      <c r="AS24" s="108">
        <v>24992</v>
      </c>
      <c r="AT24" s="99">
        <v>30284</v>
      </c>
      <c r="AU24" s="106">
        <f t="shared" si="10"/>
        <v>0.8252542596750759</v>
      </c>
      <c r="AV24" s="111"/>
      <c r="AW24" s="107">
        <f t="shared" si="28"/>
        <v>1</v>
      </c>
      <c r="AX24" s="109">
        <f t="shared" si="11"/>
        <v>1</v>
      </c>
      <c r="AY24" s="110">
        <f t="shared" si="16"/>
        <v>6.5</v>
      </c>
      <c r="AZ24" s="112"/>
      <c r="BA24" s="93"/>
      <c r="BB24" s="71"/>
      <c r="BC24" s="85"/>
      <c r="BD24" s="71"/>
      <c r="BE24" s="87"/>
      <c r="BF24" s="87"/>
      <c r="BG24" s="87"/>
      <c r="BH24" s="71"/>
      <c r="BJ24" s="85"/>
      <c r="BK24" s="71"/>
      <c r="BL24" s="87"/>
      <c r="BM24" s="87"/>
      <c r="BN24" s="87"/>
      <c r="BO24" s="71"/>
    </row>
    <row r="25" spans="1:67" s="84" customFormat="1" ht="12.75">
      <c r="A25" s="95" t="s">
        <v>15</v>
      </c>
      <c r="B25" s="96">
        <v>3074.5</v>
      </c>
      <c r="C25" s="96">
        <v>2000</v>
      </c>
      <c r="D25" s="96">
        <v>1074.5</v>
      </c>
      <c r="E25" s="97">
        <f t="shared" si="12"/>
        <v>1</v>
      </c>
      <c r="F25" s="98"/>
      <c r="G25" s="99">
        <f aca="true" t="shared" si="31" ref="G25:G39">IF(E25&lt;=1.05,1,0)</f>
        <v>1</v>
      </c>
      <c r="H25" s="100">
        <f t="shared" si="0"/>
        <v>1</v>
      </c>
      <c r="I25" s="96">
        <v>4149</v>
      </c>
      <c r="J25" s="101">
        <v>463529.03972</v>
      </c>
      <c r="K25" s="102">
        <v>324856.63972000004</v>
      </c>
      <c r="L25" s="96">
        <v>98802.95</v>
      </c>
      <c r="M25" s="96">
        <v>0</v>
      </c>
      <c r="N25" s="97">
        <f t="shared" si="18"/>
        <v>0.10406464097197236</v>
      </c>
      <c r="O25" s="98"/>
      <c r="P25" s="99">
        <f>IF(N25&lt;=0.5,1,0)</f>
        <v>1</v>
      </c>
      <c r="Q25" s="100">
        <f>O25+P25</f>
        <v>1</v>
      </c>
      <c r="R25" s="103">
        <v>300.3</v>
      </c>
      <c r="S25" s="96">
        <v>465529.03972</v>
      </c>
      <c r="T25" s="104">
        <v>222612.34772</v>
      </c>
      <c r="U25" s="97">
        <f t="shared" si="3"/>
        <v>0.0012362262861705692</v>
      </c>
      <c r="V25" s="98"/>
      <c r="W25" s="99">
        <f aca="true" t="shared" si="32" ref="W25:W39">IF(U25&lt;=0.15,1,0)</f>
        <v>1</v>
      </c>
      <c r="X25" s="100">
        <f t="shared" si="13"/>
        <v>1</v>
      </c>
      <c r="Y25" s="96">
        <v>2000</v>
      </c>
      <c r="Z25" s="105"/>
      <c r="AA25" s="105">
        <v>0</v>
      </c>
      <c r="AB25" s="105">
        <v>0</v>
      </c>
      <c r="AC25" s="105">
        <f t="shared" si="5"/>
        <v>463529.03972</v>
      </c>
      <c r="AD25" s="105">
        <f t="shared" si="5"/>
        <v>324856.63972000004</v>
      </c>
      <c r="AE25" s="105">
        <f t="shared" si="5"/>
        <v>98802.95</v>
      </c>
      <c r="AF25" s="105">
        <f t="shared" si="14"/>
        <v>39869.44999999997</v>
      </c>
      <c r="AG25" s="105">
        <f>AF25*10%</f>
        <v>3986.944999999997</v>
      </c>
      <c r="AH25" s="105">
        <f t="shared" si="23"/>
        <v>3986.944999999997</v>
      </c>
      <c r="AI25" s="106">
        <v>0.05</v>
      </c>
      <c r="AJ25" s="111"/>
      <c r="AK25" s="107">
        <f t="shared" si="29"/>
        <v>1.5</v>
      </c>
      <c r="AL25" s="100">
        <f t="shared" si="8"/>
        <v>1.5</v>
      </c>
      <c r="AM25" s="108">
        <v>14479</v>
      </c>
      <c r="AN25" s="99">
        <v>14513</v>
      </c>
      <c r="AO25" s="116">
        <f t="shared" si="9"/>
        <v>0.9976572727899125</v>
      </c>
      <c r="AP25" s="111"/>
      <c r="AQ25" s="107">
        <f t="shared" si="27"/>
        <v>1</v>
      </c>
      <c r="AR25" s="109">
        <f t="shared" si="15"/>
        <v>1</v>
      </c>
      <c r="AS25" s="108">
        <v>27964</v>
      </c>
      <c r="AT25" s="99">
        <v>34457</v>
      </c>
      <c r="AU25" s="106">
        <f t="shared" si="10"/>
        <v>0.8115622369910322</v>
      </c>
      <c r="AV25" s="111"/>
      <c r="AW25" s="107">
        <f t="shared" si="28"/>
        <v>1</v>
      </c>
      <c r="AX25" s="109">
        <f t="shared" si="11"/>
        <v>1</v>
      </c>
      <c r="AY25" s="110">
        <f t="shared" si="16"/>
        <v>6.5</v>
      </c>
      <c r="AZ25" s="112"/>
      <c r="BA25" s="93"/>
      <c r="BB25" s="71"/>
      <c r="BC25" s="85"/>
      <c r="BD25" s="71"/>
      <c r="BE25" s="87"/>
      <c r="BF25" s="87"/>
      <c r="BG25" s="87"/>
      <c r="BH25" s="71"/>
      <c r="BJ25" s="85"/>
      <c r="BK25" s="71"/>
      <c r="BL25" s="87"/>
      <c r="BM25" s="87"/>
      <c r="BN25" s="87"/>
      <c r="BO25" s="71"/>
    </row>
    <row r="26" spans="1:67" s="84" customFormat="1" ht="12.75">
      <c r="A26" s="95" t="s">
        <v>16</v>
      </c>
      <c r="B26" s="96">
        <v>0</v>
      </c>
      <c r="C26" s="96">
        <v>6875.57034</v>
      </c>
      <c r="D26" s="96">
        <v>0</v>
      </c>
      <c r="E26" s="97">
        <f t="shared" si="12"/>
        <v>0</v>
      </c>
      <c r="F26" s="98"/>
      <c r="G26" s="99">
        <f t="shared" si="31"/>
        <v>1</v>
      </c>
      <c r="H26" s="100">
        <f t="shared" si="0"/>
        <v>1</v>
      </c>
      <c r="I26" s="96">
        <v>0</v>
      </c>
      <c r="J26" s="101">
        <v>300303.64444</v>
      </c>
      <c r="K26" s="102">
        <v>229230.04444</v>
      </c>
      <c r="L26" s="96">
        <v>37367.679</v>
      </c>
      <c r="M26" s="96">
        <v>0</v>
      </c>
      <c r="N26" s="97">
        <f t="shared" si="18"/>
        <v>0</v>
      </c>
      <c r="O26" s="98"/>
      <c r="P26" s="99">
        <f aca="true" t="shared" si="33" ref="P26:P39">IF(N26&lt;=0.5,1,0)</f>
        <v>1</v>
      </c>
      <c r="Q26" s="100">
        <f t="shared" si="2"/>
        <v>1</v>
      </c>
      <c r="R26" s="103">
        <v>0</v>
      </c>
      <c r="S26" s="96">
        <v>307179.21478</v>
      </c>
      <c r="T26" s="104">
        <v>153242.89739</v>
      </c>
      <c r="U26" s="97">
        <f t="shared" si="3"/>
        <v>0</v>
      </c>
      <c r="V26" s="98"/>
      <c r="W26" s="99">
        <f t="shared" si="32"/>
        <v>1</v>
      </c>
      <c r="X26" s="100">
        <f t="shared" si="13"/>
        <v>1</v>
      </c>
      <c r="Y26" s="96">
        <v>6875.57034</v>
      </c>
      <c r="Z26" s="105"/>
      <c r="AA26" s="105">
        <v>6875.57034</v>
      </c>
      <c r="AB26" s="105">
        <v>0</v>
      </c>
      <c r="AC26" s="105">
        <f t="shared" si="5"/>
        <v>300303.64444</v>
      </c>
      <c r="AD26" s="105">
        <f t="shared" si="5"/>
        <v>229230.04444</v>
      </c>
      <c r="AE26" s="105">
        <f t="shared" si="5"/>
        <v>37367.679</v>
      </c>
      <c r="AF26" s="105">
        <f t="shared" si="14"/>
        <v>33705.92100000001</v>
      </c>
      <c r="AG26" s="105">
        <f t="shared" si="30"/>
        <v>1685.2960500000006</v>
      </c>
      <c r="AH26" s="105">
        <f t="shared" si="23"/>
        <v>8560.866390000001</v>
      </c>
      <c r="AI26" s="106">
        <f t="shared" si="22"/>
        <v>0</v>
      </c>
      <c r="AJ26" s="98"/>
      <c r="AK26" s="107">
        <f t="shared" si="29"/>
        <v>1.5</v>
      </c>
      <c r="AL26" s="100">
        <f t="shared" si="8"/>
        <v>1.5</v>
      </c>
      <c r="AM26" s="108">
        <v>10883</v>
      </c>
      <c r="AN26" s="99">
        <v>11489</v>
      </c>
      <c r="AO26" s="116">
        <f t="shared" si="9"/>
        <v>0.9472538950300288</v>
      </c>
      <c r="AP26" s="98"/>
      <c r="AQ26" s="107">
        <f t="shared" si="27"/>
        <v>1</v>
      </c>
      <c r="AR26" s="109">
        <f t="shared" si="15"/>
        <v>1</v>
      </c>
      <c r="AS26" s="108">
        <v>26169</v>
      </c>
      <c r="AT26" s="99">
        <v>27189</v>
      </c>
      <c r="AU26" s="106">
        <f t="shared" si="10"/>
        <v>0.9624848284232594</v>
      </c>
      <c r="AV26" s="98"/>
      <c r="AW26" s="107">
        <f t="shared" si="28"/>
        <v>1</v>
      </c>
      <c r="AX26" s="109">
        <f t="shared" si="11"/>
        <v>1</v>
      </c>
      <c r="AY26" s="110">
        <f t="shared" si="16"/>
        <v>6.5</v>
      </c>
      <c r="AZ26" s="112"/>
      <c r="BA26" s="93"/>
      <c r="BB26" s="71"/>
      <c r="BC26" s="85"/>
      <c r="BD26" s="71"/>
      <c r="BE26" s="87"/>
      <c r="BF26" s="87"/>
      <c r="BG26" s="87"/>
      <c r="BH26" s="71"/>
      <c r="BJ26" s="85"/>
      <c r="BK26" s="71"/>
      <c r="BL26" s="87"/>
      <c r="BM26" s="87"/>
      <c r="BN26" s="87"/>
      <c r="BO26" s="71"/>
    </row>
    <row r="27" spans="1:67" s="84" customFormat="1" ht="12.75">
      <c r="A27" s="95" t="s">
        <v>17</v>
      </c>
      <c r="B27" s="96">
        <v>1600</v>
      </c>
      <c r="C27" s="96">
        <v>5368.93376</v>
      </c>
      <c r="D27" s="96">
        <v>0</v>
      </c>
      <c r="E27" s="97">
        <f t="shared" si="12"/>
        <v>0.29801075437369523</v>
      </c>
      <c r="F27" s="98"/>
      <c r="G27" s="99">
        <f t="shared" si="31"/>
        <v>1</v>
      </c>
      <c r="H27" s="100">
        <f t="shared" si="0"/>
        <v>1</v>
      </c>
      <c r="I27" s="96">
        <v>1600</v>
      </c>
      <c r="J27" s="101">
        <v>406338.79366</v>
      </c>
      <c r="K27" s="102">
        <v>313129.68366000004</v>
      </c>
      <c r="L27" s="96">
        <v>53913.042</v>
      </c>
      <c r="M27" s="96">
        <v>0</v>
      </c>
      <c r="N27" s="97">
        <f t="shared" si="18"/>
        <v>0.04071654191966485</v>
      </c>
      <c r="O27" s="98"/>
      <c r="P27" s="99">
        <f t="shared" si="33"/>
        <v>1</v>
      </c>
      <c r="Q27" s="100">
        <f t="shared" si="2"/>
        <v>1</v>
      </c>
      <c r="R27" s="103">
        <v>0</v>
      </c>
      <c r="S27" s="96">
        <v>411707.72742</v>
      </c>
      <c r="T27" s="104">
        <v>131075.95288</v>
      </c>
      <c r="U27" s="97">
        <f t="shared" si="3"/>
        <v>0</v>
      </c>
      <c r="V27" s="98"/>
      <c r="W27" s="99">
        <f t="shared" si="32"/>
        <v>1</v>
      </c>
      <c r="X27" s="100">
        <f t="shared" si="13"/>
        <v>1</v>
      </c>
      <c r="Y27" s="96">
        <v>5368.93376</v>
      </c>
      <c r="Z27" s="105"/>
      <c r="AA27" s="105">
        <v>3768.93376</v>
      </c>
      <c r="AB27" s="105">
        <v>0</v>
      </c>
      <c r="AC27" s="105">
        <f t="shared" si="5"/>
        <v>406338.79366</v>
      </c>
      <c r="AD27" s="105">
        <f t="shared" si="5"/>
        <v>313129.68366000004</v>
      </c>
      <c r="AE27" s="105">
        <f t="shared" si="5"/>
        <v>53913.042</v>
      </c>
      <c r="AF27" s="105">
        <f t="shared" si="14"/>
        <v>39296.067999999985</v>
      </c>
      <c r="AG27" s="105">
        <f t="shared" si="30"/>
        <v>1964.8033999999993</v>
      </c>
      <c r="AH27" s="105">
        <f t="shared" si="23"/>
        <v>5733.737159999999</v>
      </c>
      <c r="AI27" s="106">
        <f t="shared" si="22"/>
        <v>0.04071654191966485</v>
      </c>
      <c r="AJ27" s="98"/>
      <c r="AK27" s="107">
        <f t="shared" si="29"/>
        <v>1.5</v>
      </c>
      <c r="AL27" s="100">
        <f t="shared" si="8"/>
        <v>1.5</v>
      </c>
      <c r="AM27" s="108">
        <v>11080</v>
      </c>
      <c r="AN27" s="99">
        <v>12266</v>
      </c>
      <c r="AO27" s="116">
        <f t="shared" si="9"/>
        <v>0.9033099624979618</v>
      </c>
      <c r="AP27" s="98"/>
      <c r="AQ27" s="107">
        <f t="shared" si="27"/>
        <v>1</v>
      </c>
      <c r="AR27" s="109">
        <f t="shared" si="15"/>
        <v>1</v>
      </c>
      <c r="AS27" s="108">
        <v>26696</v>
      </c>
      <c r="AT27" s="99">
        <v>30284</v>
      </c>
      <c r="AU27" s="106">
        <f t="shared" si="10"/>
        <v>0.8815215955620129</v>
      </c>
      <c r="AV27" s="98"/>
      <c r="AW27" s="107">
        <f t="shared" si="28"/>
        <v>1</v>
      </c>
      <c r="AX27" s="109">
        <f t="shared" si="11"/>
        <v>1</v>
      </c>
      <c r="AY27" s="110">
        <f t="shared" si="16"/>
        <v>6.5</v>
      </c>
      <c r="AZ27" s="112"/>
      <c r="BA27" s="93"/>
      <c r="BB27" s="71"/>
      <c r="BC27" s="85"/>
      <c r="BD27" s="71"/>
      <c r="BE27" s="87"/>
      <c r="BF27" s="87"/>
      <c r="BG27" s="87"/>
      <c r="BH27" s="71"/>
      <c r="BJ27" s="85"/>
      <c r="BK27" s="71"/>
      <c r="BL27" s="87"/>
      <c r="BM27" s="87"/>
      <c r="BN27" s="87"/>
      <c r="BO27" s="71"/>
    </row>
    <row r="28" spans="1:67" s="84" customFormat="1" ht="12.75">
      <c r="A28" s="95" t="s">
        <v>18</v>
      </c>
      <c r="B28" s="96">
        <v>0</v>
      </c>
      <c r="C28" s="96">
        <v>3425.2866400000003</v>
      </c>
      <c r="D28" s="96">
        <v>0</v>
      </c>
      <c r="E28" s="97">
        <f t="shared" si="12"/>
        <v>0</v>
      </c>
      <c r="F28" s="98"/>
      <c r="G28" s="99">
        <f t="shared" si="31"/>
        <v>1</v>
      </c>
      <c r="H28" s="100">
        <f t="shared" si="0"/>
        <v>1</v>
      </c>
      <c r="I28" s="96">
        <v>0</v>
      </c>
      <c r="J28" s="101">
        <v>203869.46241</v>
      </c>
      <c r="K28" s="102">
        <v>164744.46241</v>
      </c>
      <c r="L28" s="96">
        <v>24481.125</v>
      </c>
      <c r="M28" s="96">
        <v>0</v>
      </c>
      <c r="N28" s="97">
        <f t="shared" si="18"/>
        <v>0</v>
      </c>
      <c r="O28" s="98"/>
      <c r="P28" s="99">
        <f t="shared" si="33"/>
        <v>1</v>
      </c>
      <c r="Q28" s="100">
        <f t="shared" si="2"/>
        <v>1</v>
      </c>
      <c r="R28" s="103">
        <v>0</v>
      </c>
      <c r="S28" s="96">
        <v>207294.74905</v>
      </c>
      <c r="T28" s="104">
        <v>94064.26540999999</v>
      </c>
      <c r="U28" s="97">
        <f t="shared" si="3"/>
        <v>0</v>
      </c>
      <c r="V28" s="98"/>
      <c r="W28" s="99">
        <f t="shared" si="32"/>
        <v>1</v>
      </c>
      <c r="X28" s="100">
        <f t="shared" si="13"/>
        <v>1</v>
      </c>
      <c r="Y28" s="96">
        <v>3425.2866400000003</v>
      </c>
      <c r="Z28" s="105"/>
      <c r="AA28" s="105">
        <v>3425.2866400000003</v>
      </c>
      <c r="AB28" s="105">
        <v>0</v>
      </c>
      <c r="AC28" s="105">
        <f t="shared" si="5"/>
        <v>203869.46241</v>
      </c>
      <c r="AD28" s="105">
        <f t="shared" si="5"/>
        <v>164744.46241</v>
      </c>
      <c r="AE28" s="105">
        <f t="shared" si="5"/>
        <v>24481.125</v>
      </c>
      <c r="AF28" s="105">
        <f t="shared" si="14"/>
        <v>14643.875</v>
      </c>
      <c r="AG28" s="105">
        <f t="shared" si="30"/>
        <v>732.19375</v>
      </c>
      <c r="AH28" s="105">
        <f t="shared" si="23"/>
        <v>4157.480390000001</v>
      </c>
      <c r="AI28" s="106">
        <f t="shared" si="22"/>
        <v>0</v>
      </c>
      <c r="AJ28" s="98"/>
      <c r="AK28" s="107">
        <f t="shared" si="29"/>
        <v>1.5</v>
      </c>
      <c r="AL28" s="100">
        <f t="shared" si="8"/>
        <v>1.5</v>
      </c>
      <c r="AM28" s="108">
        <v>8471</v>
      </c>
      <c r="AN28" s="99">
        <v>10906</v>
      </c>
      <c r="AO28" s="116">
        <f t="shared" si="9"/>
        <v>0.7767284063818082</v>
      </c>
      <c r="AP28" s="98"/>
      <c r="AQ28" s="107">
        <f t="shared" si="27"/>
        <v>1</v>
      </c>
      <c r="AR28" s="109">
        <f t="shared" si="15"/>
        <v>1</v>
      </c>
      <c r="AS28" s="108">
        <v>22648</v>
      </c>
      <c r="AT28" s="99">
        <v>27242</v>
      </c>
      <c r="AU28" s="106">
        <f t="shared" si="10"/>
        <v>0.8313633360252551</v>
      </c>
      <c r="AV28" s="98"/>
      <c r="AW28" s="107">
        <f t="shared" si="28"/>
        <v>1</v>
      </c>
      <c r="AX28" s="109">
        <f t="shared" si="11"/>
        <v>1</v>
      </c>
      <c r="AY28" s="110">
        <f t="shared" si="16"/>
        <v>6.5</v>
      </c>
      <c r="AZ28" s="112"/>
      <c r="BA28" s="93"/>
      <c r="BB28" s="71"/>
      <c r="BC28" s="85"/>
      <c r="BD28" s="71"/>
      <c r="BE28" s="87"/>
      <c r="BF28" s="87"/>
      <c r="BG28" s="87"/>
      <c r="BH28" s="71"/>
      <c r="BJ28" s="85"/>
      <c r="BK28" s="71"/>
      <c r="BL28" s="87"/>
      <c r="BM28" s="87"/>
      <c r="BN28" s="87"/>
      <c r="BO28" s="71"/>
    </row>
    <row r="29" spans="1:67" s="84" customFormat="1" ht="12.75">
      <c r="A29" s="95" t="s">
        <v>19</v>
      </c>
      <c r="B29" s="96">
        <v>0</v>
      </c>
      <c r="C29" s="96">
        <v>8825.52505</v>
      </c>
      <c r="D29" s="96">
        <v>0</v>
      </c>
      <c r="E29" s="97">
        <f t="shared" si="12"/>
        <v>0</v>
      </c>
      <c r="F29" s="98"/>
      <c r="G29" s="99">
        <f t="shared" si="31"/>
        <v>1</v>
      </c>
      <c r="H29" s="100">
        <f t="shared" si="0"/>
        <v>1</v>
      </c>
      <c r="I29" s="96">
        <v>0</v>
      </c>
      <c r="J29" s="101">
        <v>248459.13621</v>
      </c>
      <c r="K29" s="102">
        <v>177960.36621</v>
      </c>
      <c r="L29" s="96">
        <v>40686.925</v>
      </c>
      <c r="M29" s="96">
        <v>0</v>
      </c>
      <c r="N29" s="97">
        <f t="shared" si="18"/>
        <v>0</v>
      </c>
      <c r="O29" s="98"/>
      <c r="P29" s="99">
        <f t="shared" si="33"/>
        <v>1</v>
      </c>
      <c r="Q29" s="100">
        <f t="shared" si="2"/>
        <v>1</v>
      </c>
      <c r="R29" s="103">
        <v>0</v>
      </c>
      <c r="S29" s="96">
        <v>257284.66126</v>
      </c>
      <c r="T29" s="104">
        <v>114148.1377</v>
      </c>
      <c r="U29" s="97">
        <f t="shared" si="3"/>
        <v>0</v>
      </c>
      <c r="V29" s="98"/>
      <c r="W29" s="99">
        <f t="shared" si="32"/>
        <v>1</v>
      </c>
      <c r="X29" s="100">
        <f t="shared" si="13"/>
        <v>1</v>
      </c>
      <c r="Y29" s="96">
        <v>8825.52505</v>
      </c>
      <c r="Z29" s="105"/>
      <c r="AA29" s="105">
        <v>8825.52505</v>
      </c>
      <c r="AB29" s="105">
        <v>0</v>
      </c>
      <c r="AC29" s="105">
        <f t="shared" si="5"/>
        <v>248459.13621</v>
      </c>
      <c r="AD29" s="105">
        <f t="shared" si="5"/>
        <v>177960.36621</v>
      </c>
      <c r="AE29" s="105">
        <f t="shared" si="5"/>
        <v>40686.925</v>
      </c>
      <c r="AF29" s="105">
        <f t="shared" si="14"/>
        <v>29811.844999999987</v>
      </c>
      <c r="AG29" s="105">
        <f t="shared" si="30"/>
        <v>1490.5922499999995</v>
      </c>
      <c r="AH29" s="105">
        <f t="shared" si="23"/>
        <v>10316.1173</v>
      </c>
      <c r="AI29" s="106">
        <f t="shared" si="22"/>
        <v>0</v>
      </c>
      <c r="AJ29" s="98"/>
      <c r="AK29" s="107">
        <f t="shared" si="29"/>
        <v>1.5</v>
      </c>
      <c r="AL29" s="100">
        <f t="shared" si="8"/>
        <v>1.5</v>
      </c>
      <c r="AM29" s="108">
        <v>10928</v>
      </c>
      <c r="AN29" s="99">
        <v>12266</v>
      </c>
      <c r="AO29" s="116">
        <f t="shared" si="9"/>
        <v>0.89091798467308</v>
      </c>
      <c r="AP29" s="98"/>
      <c r="AQ29" s="107">
        <f t="shared" si="27"/>
        <v>1</v>
      </c>
      <c r="AR29" s="109">
        <f t="shared" si="15"/>
        <v>1</v>
      </c>
      <c r="AS29" s="108">
        <v>27632</v>
      </c>
      <c r="AT29" s="99">
        <v>30284</v>
      </c>
      <c r="AU29" s="106">
        <f t="shared" si="10"/>
        <v>0.9124290054154008</v>
      </c>
      <c r="AV29" s="98"/>
      <c r="AW29" s="107">
        <f t="shared" si="28"/>
        <v>1</v>
      </c>
      <c r="AX29" s="109">
        <f t="shared" si="11"/>
        <v>1</v>
      </c>
      <c r="AY29" s="110">
        <f t="shared" si="16"/>
        <v>6.5</v>
      </c>
      <c r="AZ29" s="112"/>
      <c r="BA29" s="93"/>
      <c r="BB29" s="71"/>
      <c r="BC29" s="85"/>
      <c r="BD29" s="71"/>
      <c r="BE29" s="87"/>
      <c r="BF29" s="87"/>
      <c r="BG29" s="87"/>
      <c r="BH29" s="71"/>
      <c r="BJ29" s="85"/>
      <c r="BK29" s="71"/>
      <c r="BL29" s="87"/>
      <c r="BM29" s="87"/>
      <c r="BN29" s="87"/>
      <c r="BO29" s="71"/>
    </row>
    <row r="30" spans="1:67" s="84" customFormat="1" ht="12.75">
      <c r="A30" s="95" t="s">
        <v>20</v>
      </c>
      <c r="B30" s="96">
        <v>0</v>
      </c>
      <c r="C30" s="96">
        <v>0</v>
      </c>
      <c r="D30" s="96">
        <v>0</v>
      </c>
      <c r="E30" s="97">
        <f t="shared" si="12"/>
        <v>0</v>
      </c>
      <c r="F30" s="98"/>
      <c r="G30" s="99">
        <f t="shared" si="31"/>
        <v>1</v>
      </c>
      <c r="H30" s="100">
        <f t="shared" si="0"/>
        <v>1</v>
      </c>
      <c r="I30" s="96">
        <v>0</v>
      </c>
      <c r="J30" s="101">
        <v>366365.07318</v>
      </c>
      <c r="K30" s="102">
        <v>271260.07318</v>
      </c>
      <c r="L30" s="96">
        <v>61990.838</v>
      </c>
      <c r="M30" s="96">
        <v>0</v>
      </c>
      <c r="N30" s="97">
        <f t="shared" si="18"/>
        <v>0</v>
      </c>
      <c r="O30" s="98"/>
      <c r="P30" s="99">
        <f>IF(N30&lt;=0.5,1,0)</f>
        <v>1</v>
      </c>
      <c r="Q30" s="100">
        <f>O30+P30</f>
        <v>1</v>
      </c>
      <c r="R30" s="103">
        <v>0</v>
      </c>
      <c r="S30" s="96">
        <v>366365.07318</v>
      </c>
      <c r="T30" s="104">
        <v>188683.76218000002</v>
      </c>
      <c r="U30" s="97">
        <f t="shared" si="3"/>
        <v>0</v>
      </c>
      <c r="V30" s="98"/>
      <c r="W30" s="99">
        <f t="shared" si="32"/>
        <v>1</v>
      </c>
      <c r="X30" s="100">
        <f t="shared" si="13"/>
        <v>1</v>
      </c>
      <c r="Y30" s="96">
        <v>0</v>
      </c>
      <c r="Z30" s="105"/>
      <c r="AA30" s="105">
        <v>0</v>
      </c>
      <c r="AB30" s="105">
        <v>0</v>
      </c>
      <c r="AC30" s="105">
        <f t="shared" si="5"/>
        <v>366365.07318</v>
      </c>
      <c r="AD30" s="105">
        <f t="shared" si="5"/>
        <v>271260.07318</v>
      </c>
      <c r="AE30" s="105">
        <f t="shared" si="5"/>
        <v>61990.838</v>
      </c>
      <c r="AF30" s="105">
        <f t="shared" si="14"/>
        <v>33114.162</v>
      </c>
      <c r="AG30" s="105">
        <f>AF30*10%</f>
        <v>3311.4161999999997</v>
      </c>
      <c r="AH30" s="105">
        <f t="shared" si="23"/>
        <v>3311.4161999999997</v>
      </c>
      <c r="AI30" s="106">
        <f t="shared" si="22"/>
        <v>0</v>
      </c>
      <c r="AJ30" s="111"/>
      <c r="AK30" s="107">
        <f t="shared" si="29"/>
        <v>1.5</v>
      </c>
      <c r="AL30" s="100">
        <f t="shared" si="8"/>
        <v>1.5</v>
      </c>
      <c r="AM30" s="108">
        <v>14178</v>
      </c>
      <c r="AN30" s="99">
        <v>14513</v>
      </c>
      <c r="AO30" s="116">
        <f t="shared" si="9"/>
        <v>0.9769172466064907</v>
      </c>
      <c r="AP30" s="111"/>
      <c r="AQ30" s="107">
        <f t="shared" si="27"/>
        <v>1</v>
      </c>
      <c r="AR30" s="109">
        <f t="shared" si="15"/>
        <v>1</v>
      </c>
      <c r="AS30" s="108">
        <v>32549</v>
      </c>
      <c r="AT30" s="99">
        <v>34457</v>
      </c>
      <c r="AU30" s="106">
        <f t="shared" si="10"/>
        <v>0.9446266360971646</v>
      </c>
      <c r="AV30" s="111"/>
      <c r="AW30" s="107">
        <f t="shared" si="28"/>
        <v>1</v>
      </c>
      <c r="AX30" s="109">
        <f t="shared" si="11"/>
        <v>1</v>
      </c>
      <c r="AY30" s="110">
        <f t="shared" si="16"/>
        <v>6.5</v>
      </c>
      <c r="AZ30" s="112"/>
      <c r="BA30" s="93"/>
      <c r="BB30" s="71"/>
      <c r="BC30" s="85"/>
      <c r="BD30" s="71"/>
      <c r="BE30" s="87"/>
      <c r="BF30" s="87"/>
      <c r="BG30" s="87"/>
      <c r="BH30" s="71"/>
      <c r="BJ30" s="85"/>
      <c r="BK30" s="71"/>
      <c r="BL30" s="87"/>
      <c r="BM30" s="87"/>
      <c r="BN30" s="87"/>
      <c r="BO30" s="71"/>
    </row>
    <row r="31" spans="1:67" s="84" customFormat="1" ht="12.75">
      <c r="A31" s="95" t="s">
        <v>21</v>
      </c>
      <c r="B31" s="96">
        <v>0</v>
      </c>
      <c r="C31" s="96">
        <v>6035.95727</v>
      </c>
      <c r="D31" s="96">
        <v>0</v>
      </c>
      <c r="E31" s="97">
        <f t="shared" si="12"/>
        <v>0</v>
      </c>
      <c r="F31" s="98"/>
      <c r="G31" s="99">
        <f t="shared" si="31"/>
        <v>1</v>
      </c>
      <c r="H31" s="100">
        <f t="shared" si="0"/>
        <v>1</v>
      </c>
      <c r="I31" s="96">
        <v>0</v>
      </c>
      <c r="J31" s="101">
        <v>242164.79238</v>
      </c>
      <c r="K31" s="102">
        <v>213647.39238</v>
      </c>
      <c r="L31" s="96">
        <v>17073.605</v>
      </c>
      <c r="M31" s="96">
        <v>0</v>
      </c>
      <c r="N31" s="97">
        <f t="shared" si="18"/>
        <v>0</v>
      </c>
      <c r="O31" s="98"/>
      <c r="P31" s="99">
        <f t="shared" si="33"/>
        <v>1</v>
      </c>
      <c r="Q31" s="100">
        <f t="shared" si="2"/>
        <v>1</v>
      </c>
      <c r="R31" s="103">
        <v>0</v>
      </c>
      <c r="S31" s="96">
        <v>248200.74965</v>
      </c>
      <c r="T31" s="104">
        <v>125234.25138</v>
      </c>
      <c r="U31" s="97">
        <f t="shared" si="3"/>
        <v>0</v>
      </c>
      <c r="V31" s="98"/>
      <c r="W31" s="99">
        <f t="shared" si="32"/>
        <v>1</v>
      </c>
      <c r="X31" s="100">
        <f t="shared" si="13"/>
        <v>1</v>
      </c>
      <c r="Y31" s="96">
        <v>6035.95727</v>
      </c>
      <c r="Z31" s="105"/>
      <c r="AA31" s="105">
        <v>6035.95727</v>
      </c>
      <c r="AB31" s="105">
        <v>0</v>
      </c>
      <c r="AC31" s="105">
        <f t="shared" si="5"/>
        <v>242164.79238</v>
      </c>
      <c r="AD31" s="105">
        <f t="shared" si="5"/>
        <v>213647.39238</v>
      </c>
      <c r="AE31" s="105">
        <f t="shared" si="5"/>
        <v>17073.605</v>
      </c>
      <c r="AF31" s="105">
        <f t="shared" si="14"/>
        <v>11443.794999999995</v>
      </c>
      <c r="AG31" s="105">
        <f t="shared" si="30"/>
        <v>572.1897499999998</v>
      </c>
      <c r="AH31" s="105">
        <f t="shared" si="23"/>
        <v>6608.147019999999</v>
      </c>
      <c r="AI31" s="106">
        <f t="shared" si="22"/>
        <v>0</v>
      </c>
      <c r="AJ31" s="98"/>
      <c r="AK31" s="107">
        <f t="shared" si="29"/>
        <v>1.5</v>
      </c>
      <c r="AL31" s="100">
        <f t="shared" si="8"/>
        <v>1.5</v>
      </c>
      <c r="AM31" s="108">
        <v>7706</v>
      </c>
      <c r="AN31" s="99">
        <v>10129</v>
      </c>
      <c r="AO31" s="116">
        <f t="shared" si="9"/>
        <v>0.7607858623753578</v>
      </c>
      <c r="AP31" s="98"/>
      <c r="AQ31" s="107">
        <f t="shared" si="27"/>
        <v>1</v>
      </c>
      <c r="AR31" s="109">
        <f t="shared" si="15"/>
        <v>1</v>
      </c>
      <c r="AS31" s="108">
        <v>20969</v>
      </c>
      <c r="AT31" s="99">
        <v>24147</v>
      </c>
      <c r="AU31" s="106">
        <f t="shared" si="10"/>
        <v>0.8683894479645504</v>
      </c>
      <c r="AV31" s="98"/>
      <c r="AW31" s="107">
        <f t="shared" si="28"/>
        <v>1</v>
      </c>
      <c r="AX31" s="109">
        <f t="shared" si="11"/>
        <v>1</v>
      </c>
      <c r="AY31" s="110">
        <f t="shared" si="16"/>
        <v>6.5</v>
      </c>
      <c r="AZ31" s="112"/>
      <c r="BA31" s="93"/>
      <c r="BB31" s="71"/>
      <c r="BC31" s="85"/>
      <c r="BD31" s="71"/>
      <c r="BE31" s="87"/>
      <c r="BF31" s="87"/>
      <c r="BG31" s="87"/>
      <c r="BH31" s="71"/>
      <c r="BJ31" s="85"/>
      <c r="BK31" s="71"/>
      <c r="BL31" s="87"/>
      <c r="BM31" s="87"/>
      <c r="BN31" s="87"/>
      <c r="BO31" s="71"/>
    </row>
    <row r="32" spans="1:67" s="84" customFormat="1" ht="12.75">
      <c r="A32" s="95" t="s">
        <v>22</v>
      </c>
      <c r="B32" s="96">
        <v>0</v>
      </c>
      <c r="C32" s="96">
        <v>5668.86172</v>
      </c>
      <c r="D32" s="96">
        <v>0</v>
      </c>
      <c r="E32" s="97">
        <f t="shared" si="12"/>
        <v>0</v>
      </c>
      <c r="F32" s="98"/>
      <c r="G32" s="99">
        <f t="shared" si="31"/>
        <v>1</v>
      </c>
      <c r="H32" s="100">
        <f t="shared" si="0"/>
        <v>1</v>
      </c>
      <c r="I32" s="96">
        <v>0</v>
      </c>
      <c r="J32" s="101">
        <v>448472.75182999996</v>
      </c>
      <c r="K32" s="102">
        <v>304250.25182999996</v>
      </c>
      <c r="L32" s="96">
        <v>95746.591</v>
      </c>
      <c r="M32" s="96">
        <v>0</v>
      </c>
      <c r="N32" s="97">
        <f t="shared" si="18"/>
        <v>0</v>
      </c>
      <c r="O32" s="98"/>
      <c r="P32" s="99">
        <f t="shared" si="33"/>
        <v>1</v>
      </c>
      <c r="Q32" s="100">
        <f t="shared" si="2"/>
        <v>1</v>
      </c>
      <c r="R32" s="103">
        <v>0</v>
      </c>
      <c r="S32" s="96">
        <v>454141.61355</v>
      </c>
      <c r="T32" s="104">
        <v>209452.70743</v>
      </c>
      <c r="U32" s="97">
        <f t="shared" si="3"/>
        <v>0</v>
      </c>
      <c r="V32" s="98"/>
      <c r="W32" s="99">
        <f t="shared" si="32"/>
        <v>1</v>
      </c>
      <c r="X32" s="100">
        <f t="shared" si="13"/>
        <v>1</v>
      </c>
      <c r="Y32" s="96">
        <v>5668.86172</v>
      </c>
      <c r="Z32" s="105"/>
      <c r="AA32" s="105">
        <v>5668.86172</v>
      </c>
      <c r="AB32" s="105">
        <v>0</v>
      </c>
      <c r="AC32" s="105">
        <f t="shared" si="5"/>
        <v>448472.75182999996</v>
      </c>
      <c r="AD32" s="105">
        <f t="shared" si="5"/>
        <v>304250.25182999996</v>
      </c>
      <c r="AE32" s="105">
        <f t="shared" si="5"/>
        <v>95746.591</v>
      </c>
      <c r="AF32" s="105">
        <f t="shared" si="14"/>
        <v>48475.909</v>
      </c>
      <c r="AG32" s="105">
        <f t="shared" si="30"/>
        <v>2423.79545</v>
      </c>
      <c r="AH32" s="105">
        <f t="shared" si="23"/>
        <v>8092.65717</v>
      </c>
      <c r="AI32" s="106">
        <f t="shared" si="22"/>
        <v>0</v>
      </c>
      <c r="AJ32" s="98"/>
      <c r="AK32" s="107">
        <f t="shared" si="29"/>
        <v>1.5</v>
      </c>
      <c r="AL32" s="100">
        <f t="shared" si="8"/>
        <v>1.5</v>
      </c>
      <c r="AM32" s="108">
        <v>13975</v>
      </c>
      <c r="AN32" s="99">
        <v>14513</v>
      </c>
      <c r="AO32" s="116">
        <f>AM32/AN32</f>
        <v>0.9629297870874388</v>
      </c>
      <c r="AP32" s="98"/>
      <c r="AQ32" s="107">
        <f t="shared" si="27"/>
        <v>1</v>
      </c>
      <c r="AR32" s="109">
        <f t="shared" si="15"/>
        <v>1</v>
      </c>
      <c r="AS32" s="108">
        <v>34387</v>
      </c>
      <c r="AT32" s="99">
        <v>34457</v>
      </c>
      <c r="AU32" s="106">
        <f t="shared" si="10"/>
        <v>0.9979684824563949</v>
      </c>
      <c r="AV32" s="98"/>
      <c r="AW32" s="107">
        <f t="shared" si="28"/>
        <v>1</v>
      </c>
      <c r="AX32" s="109">
        <f t="shared" si="11"/>
        <v>1</v>
      </c>
      <c r="AY32" s="110">
        <f t="shared" si="16"/>
        <v>6.5</v>
      </c>
      <c r="AZ32" s="112"/>
      <c r="BA32" s="93"/>
      <c r="BB32" s="71"/>
      <c r="BC32" s="85"/>
      <c r="BD32" s="71"/>
      <c r="BE32" s="87"/>
      <c r="BF32" s="87"/>
      <c r="BG32" s="87"/>
      <c r="BH32" s="71"/>
      <c r="BJ32" s="85"/>
      <c r="BK32" s="71"/>
      <c r="BL32" s="87"/>
      <c r="BM32" s="87"/>
      <c r="BN32" s="87"/>
      <c r="BO32" s="71"/>
    </row>
    <row r="33" spans="1:67" s="84" customFormat="1" ht="12.75">
      <c r="A33" s="95" t="s">
        <v>23</v>
      </c>
      <c r="B33" s="96">
        <v>0</v>
      </c>
      <c r="C33" s="96">
        <v>6775.98134</v>
      </c>
      <c r="D33" s="96">
        <v>0</v>
      </c>
      <c r="E33" s="97">
        <f>IF(AND(B33=0,D33=0),0,B33/(IF(C33&gt;0,C33,0)+D33))</f>
        <v>0</v>
      </c>
      <c r="F33" s="98"/>
      <c r="G33" s="99">
        <f t="shared" si="31"/>
        <v>1</v>
      </c>
      <c r="H33" s="100">
        <f>F33+G33</f>
        <v>1</v>
      </c>
      <c r="I33" s="96">
        <v>0</v>
      </c>
      <c r="J33" s="101">
        <v>605969.4789199999</v>
      </c>
      <c r="K33" s="102">
        <v>477604.58192</v>
      </c>
      <c r="L33" s="96">
        <v>71144.286</v>
      </c>
      <c r="M33" s="96">
        <v>0</v>
      </c>
      <c r="N33" s="97">
        <f>(I33-M33)/(J33-K33-L33)</f>
        <v>0</v>
      </c>
      <c r="O33" s="98"/>
      <c r="P33" s="99">
        <f t="shared" si="33"/>
        <v>1</v>
      </c>
      <c r="Q33" s="100">
        <f>O33+P33</f>
        <v>1</v>
      </c>
      <c r="R33" s="103">
        <v>0</v>
      </c>
      <c r="S33" s="96">
        <v>612745.46026</v>
      </c>
      <c r="T33" s="104">
        <v>312348.14798</v>
      </c>
      <c r="U33" s="97">
        <f>R33/(S33-T33)</f>
        <v>0</v>
      </c>
      <c r="V33" s="98"/>
      <c r="W33" s="99">
        <f t="shared" si="32"/>
        <v>1</v>
      </c>
      <c r="X33" s="100">
        <f t="shared" si="13"/>
        <v>1</v>
      </c>
      <c r="Y33" s="96">
        <v>6775.98134</v>
      </c>
      <c r="Z33" s="105"/>
      <c r="AA33" s="105">
        <v>6775.98134</v>
      </c>
      <c r="AB33" s="105">
        <v>0</v>
      </c>
      <c r="AC33" s="105">
        <f>J33</f>
        <v>605969.4789199999</v>
      </c>
      <c r="AD33" s="105">
        <f>K33</f>
        <v>477604.58192</v>
      </c>
      <c r="AE33" s="105">
        <f>L33</f>
        <v>71144.286</v>
      </c>
      <c r="AF33" s="105">
        <f>AC33-AD33-AE33</f>
        <v>57220.61099999989</v>
      </c>
      <c r="AG33" s="105">
        <f>AF33*10%</f>
        <v>5722.061099999989</v>
      </c>
      <c r="AH33" s="105">
        <f>IF(AA33&gt;0,AA33,0)+AG33+IF(AB33&gt;0,AB33,0)</f>
        <v>12498.04243999999</v>
      </c>
      <c r="AI33" s="106">
        <f>IF((Y33-IF(Z33&gt;0,Z33,0)-IF(AA33&gt;0,AA33,0)-IF(AB33&gt;0,AB33,0))/(AC33-AD33-AE33)&gt;0,(Y33-IF(Z33&gt;0,Z33,0)-IF(AA33&gt;0,AA33,0)-IF(AB33&gt;0,AB33,0))/(AC33-AD33-AE33),0)</f>
        <v>0</v>
      </c>
      <c r="AJ33" s="111"/>
      <c r="AK33" s="107">
        <f t="shared" si="29"/>
        <v>1.5</v>
      </c>
      <c r="AL33" s="100">
        <f>AJ33+AK33</f>
        <v>1.5</v>
      </c>
      <c r="AM33" s="108">
        <v>16486</v>
      </c>
      <c r="AN33" s="99">
        <v>17572</v>
      </c>
      <c r="AO33" s="116">
        <f>AM33/AN33</f>
        <v>0.9381971318005918</v>
      </c>
      <c r="AP33" s="111"/>
      <c r="AQ33" s="107">
        <f t="shared" si="27"/>
        <v>1</v>
      </c>
      <c r="AR33" s="109">
        <f>AP33+AQ33</f>
        <v>1</v>
      </c>
      <c r="AS33" s="108">
        <v>38606</v>
      </c>
      <c r="AT33" s="99">
        <v>40219</v>
      </c>
      <c r="AU33" s="106">
        <f t="shared" si="10"/>
        <v>0.9598945771898854</v>
      </c>
      <c r="AV33" s="111"/>
      <c r="AW33" s="107">
        <f t="shared" si="28"/>
        <v>1</v>
      </c>
      <c r="AX33" s="109">
        <f t="shared" si="11"/>
        <v>1</v>
      </c>
      <c r="AY33" s="110">
        <f t="shared" si="16"/>
        <v>6.5</v>
      </c>
      <c r="AZ33" s="112"/>
      <c r="BA33" s="93"/>
      <c r="BB33" s="71"/>
      <c r="BC33" s="85"/>
      <c r="BD33" s="71"/>
      <c r="BE33" s="87"/>
      <c r="BF33" s="87"/>
      <c r="BG33" s="87"/>
      <c r="BH33" s="71"/>
      <c r="BJ33" s="85"/>
      <c r="BK33" s="71"/>
      <c r="BL33" s="87"/>
      <c r="BM33" s="87"/>
      <c r="BN33" s="87"/>
      <c r="BO33" s="71"/>
    </row>
    <row r="34" spans="1:67" s="84" customFormat="1" ht="12.75">
      <c r="A34" s="95" t="s">
        <v>24</v>
      </c>
      <c r="B34" s="96">
        <v>0</v>
      </c>
      <c r="C34" s="96">
        <v>4790.721</v>
      </c>
      <c r="D34" s="96">
        <v>0</v>
      </c>
      <c r="E34" s="97">
        <f t="shared" si="12"/>
        <v>0</v>
      </c>
      <c r="F34" s="98"/>
      <c r="G34" s="99">
        <f t="shared" si="31"/>
        <v>1</v>
      </c>
      <c r="H34" s="100">
        <f t="shared" si="0"/>
        <v>1</v>
      </c>
      <c r="I34" s="96">
        <v>0</v>
      </c>
      <c r="J34" s="101">
        <v>144225.05515</v>
      </c>
      <c r="K34" s="102">
        <v>110375.05515</v>
      </c>
      <c r="L34" s="96">
        <v>20606.621</v>
      </c>
      <c r="M34" s="96">
        <v>0</v>
      </c>
      <c r="N34" s="97">
        <f t="shared" si="18"/>
        <v>0</v>
      </c>
      <c r="O34" s="98"/>
      <c r="P34" s="99">
        <f t="shared" si="33"/>
        <v>1</v>
      </c>
      <c r="Q34" s="100">
        <f t="shared" si="2"/>
        <v>1</v>
      </c>
      <c r="R34" s="103">
        <v>0</v>
      </c>
      <c r="S34" s="96">
        <v>149015.77615000002</v>
      </c>
      <c r="T34" s="104">
        <v>67825.61315</v>
      </c>
      <c r="U34" s="97">
        <f t="shared" si="3"/>
        <v>0</v>
      </c>
      <c r="V34" s="98"/>
      <c r="W34" s="99">
        <f t="shared" si="32"/>
        <v>1</v>
      </c>
      <c r="X34" s="100">
        <f t="shared" si="13"/>
        <v>1</v>
      </c>
      <c r="Y34" s="96">
        <v>4790.721</v>
      </c>
      <c r="Z34" s="105"/>
      <c r="AA34" s="105">
        <v>4790.721</v>
      </c>
      <c r="AB34" s="105">
        <v>0</v>
      </c>
      <c r="AC34" s="105">
        <f t="shared" si="5"/>
        <v>144225.05515</v>
      </c>
      <c r="AD34" s="105">
        <f t="shared" si="5"/>
        <v>110375.05515</v>
      </c>
      <c r="AE34" s="105">
        <f t="shared" si="5"/>
        <v>20606.621</v>
      </c>
      <c r="AF34" s="105">
        <f t="shared" si="14"/>
        <v>13243.379</v>
      </c>
      <c r="AG34" s="105">
        <f aca="true" t="shared" si="34" ref="AG34:AG39">AF34*5%</f>
        <v>662.1689500000001</v>
      </c>
      <c r="AH34" s="105">
        <f t="shared" si="23"/>
        <v>5452.88995</v>
      </c>
      <c r="AI34" s="106">
        <f t="shared" si="22"/>
        <v>0</v>
      </c>
      <c r="AJ34" s="111"/>
      <c r="AK34" s="107">
        <f t="shared" si="29"/>
        <v>1.5</v>
      </c>
      <c r="AL34" s="100">
        <f t="shared" si="8"/>
        <v>1.5</v>
      </c>
      <c r="AM34" s="108">
        <v>7199</v>
      </c>
      <c r="AN34" s="99">
        <v>9971</v>
      </c>
      <c r="AO34" s="116">
        <f t="shared" si="9"/>
        <v>0.7219937819677064</v>
      </c>
      <c r="AP34" s="111"/>
      <c r="AQ34" s="107">
        <f t="shared" si="27"/>
        <v>1</v>
      </c>
      <c r="AR34" s="109">
        <f>AP34+AQ34</f>
        <v>1</v>
      </c>
      <c r="AS34" s="108">
        <v>20445</v>
      </c>
      <c r="AT34" s="99">
        <v>25171</v>
      </c>
      <c r="AU34" s="106">
        <f t="shared" si="10"/>
        <v>0.8122442493345516</v>
      </c>
      <c r="AV34" s="111"/>
      <c r="AW34" s="107">
        <f t="shared" si="28"/>
        <v>1</v>
      </c>
      <c r="AX34" s="109">
        <f t="shared" si="11"/>
        <v>1</v>
      </c>
      <c r="AY34" s="110">
        <f t="shared" si="16"/>
        <v>6.5</v>
      </c>
      <c r="AZ34" s="112"/>
      <c r="BA34" s="93"/>
      <c r="BB34" s="71"/>
      <c r="BC34" s="85"/>
      <c r="BD34" s="71"/>
      <c r="BE34" s="87"/>
      <c r="BF34" s="87"/>
      <c r="BG34" s="87"/>
      <c r="BH34" s="71"/>
      <c r="BJ34" s="85"/>
      <c r="BK34" s="71"/>
      <c r="BL34" s="87"/>
      <c r="BM34" s="87"/>
      <c r="BN34" s="87"/>
      <c r="BO34" s="71"/>
    </row>
    <row r="35" spans="1:67" s="84" customFormat="1" ht="12.75">
      <c r="A35" s="60" t="s">
        <v>25</v>
      </c>
      <c r="B35" s="37">
        <v>0</v>
      </c>
      <c r="C35" s="37">
        <v>3296.03698</v>
      </c>
      <c r="D35" s="37">
        <v>0</v>
      </c>
      <c r="E35" s="61">
        <f>IF(AND(B35=0,D35=0),0,B35/(IF(C35&gt;0,C35,0)+D35))</f>
        <v>0</v>
      </c>
      <c r="F35" s="7">
        <f>IF(E35&lt;=1.05,1,0)</f>
        <v>1</v>
      </c>
      <c r="G35" s="55"/>
      <c r="H35" s="56">
        <f t="shared" si="0"/>
        <v>1</v>
      </c>
      <c r="I35" s="37">
        <v>0</v>
      </c>
      <c r="J35" s="74">
        <v>272777.5981</v>
      </c>
      <c r="K35" s="94">
        <v>192161.3981</v>
      </c>
      <c r="L35" s="37">
        <v>35326.607</v>
      </c>
      <c r="M35" s="37">
        <v>0</v>
      </c>
      <c r="N35" s="61">
        <f t="shared" si="18"/>
        <v>0</v>
      </c>
      <c r="O35" s="7">
        <f>IF(N35&lt;=1,1,0)</f>
        <v>1</v>
      </c>
      <c r="P35" s="55"/>
      <c r="Q35" s="56">
        <f t="shared" si="2"/>
        <v>1</v>
      </c>
      <c r="R35" s="34">
        <v>0</v>
      </c>
      <c r="S35" s="37">
        <v>276073.63508</v>
      </c>
      <c r="T35" s="53">
        <v>114413.81509999999</v>
      </c>
      <c r="U35" s="61">
        <f t="shared" si="3"/>
        <v>0</v>
      </c>
      <c r="V35" s="7">
        <f>IF(U35&lt;=0.15,1,0)</f>
        <v>1</v>
      </c>
      <c r="W35" s="55"/>
      <c r="X35" s="56">
        <f t="shared" si="13"/>
        <v>1</v>
      </c>
      <c r="Y35" s="37">
        <v>3296.03698</v>
      </c>
      <c r="Z35" s="35"/>
      <c r="AA35" s="35">
        <v>3296.03698</v>
      </c>
      <c r="AB35" s="35">
        <v>0</v>
      </c>
      <c r="AC35" s="35">
        <f t="shared" si="5"/>
        <v>272777.5981</v>
      </c>
      <c r="AD35" s="35">
        <f t="shared" si="5"/>
        <v>192161.3981</v>
      </c>
      <c r="AE35" s="35">
        <f t="shared" si="5"/>
        <v>35326.607</v>
      </c>
      <c r="AF35" s="35">
        <f t="shared" si="14"/>
        <v>45289.59300000001</v>
      </c>
      <c r="AG35" s="54">
        <f t="shared" si="34"/>
        <v>2264.4796500000007</v>
      </c>
      <c r="AH35" s="35">
        <f t="shared" si="23"/>
        <v>5560.51663</v>
      </c>
      <c r="AI35" s="77">
        <f t="shared" si="22"/>
        <v>0</v>
      </c>
      <c r="AJ35" s="33">
        <f>IF(AI35&lt;=0.1,1.5,0)</f>
        <v>1.5</v>
      </c>
      <c r="AK35" s="79"/>
      <c r="AL35" s="56">
        <f t="shared" si="8"/>
        <v>1.5</v>
      </c>
      <c r="AM35" s="57">
        <v>10834</v>
      </c>
      <c r="AN35" s="55">
        <v>12266</v>
      </c>
      <c r="AO35" s="117">
        <f t="shared" si="9"/>
        <v>0.8832545247024295</v>
      </c>
      <c r="AP35" s="32">
        <f>IF(AO35&lt;=1,1,0)</f>
        <v>1</v>
      </c>
      <c r="AQ35" s="79"/>
      <c r="AR35" s="80">
        <f t="shared" si="15"/>
        <v>1</v>
      </c>
      <c r="AS35" s="57">
        <v>26722</v>
      </c>
      <c r="AT35" s="55">
        <v>30284</v>
      </c>
      <c r="AU35" s="77">
        <f t="shared" si="10"/>
        <v>0.8823801347246071</v>
      </c>
      <c r="AV35" s="32">
        <f>IF(AU35&lt;=1,1,0)</f>
        <v>1</v>
      </c>
      <c r="AW35" s="79"/>
      <c r="AX35" s="80">
        <f t="shared" si="11"/>
        <v>1</v>
      </c>
      <c r="AY35" s="81">
        <f t="shared" si="16"/>
        <v>6.5</v>
      </c>
      <c r="AZ35" s="112"/>
      <c r="BA35" s="93"/>
      <c r="BB35" s="71"/>
      <c r="BC35" s="85"/>
      <c r="BD35" s="71"/>
      <c r="BE35" s="87"/>
      <c r="BF35" s="87"/>
      <c r="BG35" s="87"/>
      <c r="BH35" s="71"/>
      <c r="BJ35" s="85"/>
      <c r="BK35" s="71"/>
      <c r="BL35" s="87"/>
      <c r="BM35" s="87"/>
      <c r="BN35" s="87"/>
      <c r="BO35" s="71"/>
    </row>
    <row r="36" spans="1:67" s="84" customFormat="1" ht="12.75">
      <c r="A36" s="60" t="s">
        <v>26</v>
      </c>
      <c r="B36" s="37">
        <v>0</v>
      </c>
      <c r="C36" s="37">
        <v>37864.335399999996</v>
      </c>
      <c r="D36" s="37">
        <v>0</v>
      </c>
      <c r="E36" s="61">
        <f t="shared" si="12"/>
        <v>0</v>
      </c>
      <c r="F36" s="36">
        <f>IF(E36&lt;=1.05,1,0)</f>
        <v>1</v>
      </c>
      <c r="G36" s="55"/>
      <c r="H36" s="56">
        <f t="shared" si="0"/>
        <v>1</v>
      </c>
      <c r="I36" s="37">
        <v>0</v>
      </c>
      <c r="J36" s="74">
        <v>316446.35586</v>
      </c>
      <c r="K36" s="94">
        <v>208715.95586000002</v>
      </c>
      <c r="L36" s="37">
        <v>51757.016</v>
      </c>
      <c r="M36" s="37">
        <v>0</v>
      </c>
      <c r="N36" s="61">
        <f t="shared" si="18"/>
        <v>0</v>
      </c>
      <c r="O36" s="36">
        <f>IF(N36&lt;=1,1,0)</f>
        <v>1</v>
      </c>
      <c r="P36" s="55"/>
      <c r="Q36" s="56">
        <f t="shared" si="2"/>
        <v>1</v>
      </c>
      <c r="R36" s="34">
        <v>0</v>
      </c>
      <c r="S36" s="37">
        <v>354310.69126</v>
      </c>
      <c r="T36" s="53">
        <v>162392.44036</v>
      </c>
      <c r="U36" s="61">
        <f t="shared" si="3"/>
        <v>0</v>
      </c>
      <c r="V36" s="36">
        <f>IF(U36&lt;=0.15,1,0)</f>
        <v>1</v>
      </c>
      <c r="W36" s="55"/>
      <c r="X36" s="56">
        <f t="shared" si="13"/>
        <v>1</v>
      </c>
      <c r="Y36" s="37">
        <v>37864.335399999996</v>
      </c>
      <c r="Z36" s="35"/>
      <c r="AA36" s="35">
        <v>37864.335399999996</v>
      </c>
      <c r="AB36" s="35">
        <v>0</v>
      </c>
      <c r="AC36" s="35">
        <f t="shared" si="5"/>
        <v>316446.35586</v>
      </c>
      <c r="AD36" s="35">
        <f t="shared" si="5"/>
        <v>208715.95586000002</v>
      </c>
      <c r="AE36" s="35">
        <f t="shared" si="5"/>
        <v>51757.016</v>
      </c>
      <c r="AF36" s="35">
        <f t="shared" si="14"/>
        <v>55973.38399999999</v>
      </c>
      <c r="AG36" s="35">
        <f t="shared" si="34"/>
        <v>2798.6692</v>
      </c>
      <c r="AH36" s="35">
        <f t="shared" si="23"/>
        <v>40663.00459999999</v>
      </c>
      <c r="AI36" s="77">
        <f t="shared" si="22"/>
        <v>0</v>
      </c>
      <c r="AJ36" s="33">
        <f>IF(AI36&lt;=0.1,1.5,0)</f>
        <v>1.5</v>
      </c>
      <c r="AK36" s="79"/>
      <c r="AL36" s="56">
        <f t="shared" si="8"/>
        <v>1.5</v>
      </c>
      <c r="AM36" s="57">
        <v>11489</v>
      </c>
      <c r="AN36" s="55">
        <v>11489</v>
      </c>
      <c r="AO36" s="117">
        <f t="shared" si="9"/>
        <v>1</v>
      </c>
      <c r="AP36" s="33">
        <f>IF(AO36&lt;=1,1,0)</f>
        <v>1</v>
      </c>
      <c r="AQ36" s="79"/>
      <c r="AR36" s="80">
        <f t="shared" si="15"/>
        <v>1</v>
      </c>
      <c r="AS36" s="57">
        <v>27180</v>
      </c>
      <c r="AT36" s="55">
        <v>27189</v>
      </c>
      <c r="AU36" s="77">
        <f t="shared" si="10"/>
        <v>0.9996689837802052</v>
      </c>
      <c r="AV36" s="33">
        <f>IF(AU36&lt;=1,1,0)</f>
        <v>1</v>
      </c>
      <c r="AW36" s="79"/>
      <c r="AX36" s="80">
        <f t="shared" si="11"/>
        <v>1</v>
      </c>
      <c r="AY36" s="81">
        <f t="shared" si="16"/>
        <v>6.5</v>
      </c>
      <c r="AZ36" s="112"/>
      <c r="BA36" s="93"/>
      <c r="BB36" s="71"/>
      <c r="BC36" s="85"/>
      <c r="BD36" s="71"/>
      <c r="BE36" s="87"/>
      <c r="BF36" s="87"/>
      <c r="BG36" s="87"/>
      <c r="BH36" s="71"/>
      <c r="BJ36" s="85"/>
      <c r="BK36" s="71"/>
      <c r="BL36" s="87"/>
      <c r="BM36" s="87"/>
      <c r="BN36" s="87"/>
      <c r="BO36" s="71"/>
    </row>
    <row r="37" spans="1:67" s="84" customFormat="1" ht="12.75">
      <c r="A37" s="95" t="s">
        <v>27</v>
      </c>
      <c r="B37" s="96">
        <v>0</v>
      </c>
      <c r="C37" s="96">
        <v>5184.52173</v>
      </c>
      <c r="D37" s="96">
        <v>0</v>
      </c>
      <c r="E37" s="97">
        <f t="shared" si="12"/>
        <v>0</v>
      </c>
      <c r="F37" s="98"/>
      <c r="G37" s="99">
        <f t="shared" si="31"/>
        <v>1</v>
      </c>
      <c r="H37" s="100">
        <f t="shared" si="0"/>
        <v>1</v>
      </c>
      <c r="I37" s="96">
        <v>0</v>
      </c>
      <c r="J37" s="101">
        <v>299096.53997000004</v>
      </c>
      <c r="K37" s="102">
        <v>219858.22997</v>
      </c>
      <c r="L37" s="96">
        <v>47464.435</v>
      </c>
      <c r="M37" s="96">
        <v>0</v>
      </c>
      <c r="N37" s="97">
        <f t="shared" si="18"/>
        <v>0</v>
      </c>
      <c r="O37" s="98"/>
      <c r="P37" s="99">
        <f t="shared" si="33"/>
        <v>1</v>
      </c>
      <c r="Q37" s="100">
        <f t="shared" si="2"/>
        <v>1</v>
      </c>
      <c r="R37" s="103">
        <v>0</v>
      </c>
      <c r="S37" s="96">
        <v>304281.06169999996</v>
      </c>
      <c r="T37" s="104">
        <v>96552.90196999999</v>
      </c>
      <c r="U37" s="97">
        <f t="shared" si="3"/>
        <v>0</v>
      </c>
      <c r="V37" s="98"/>
      <c r="W37" s="99">
        <f t="shared" si="32"/>
        <v>1</v>
      </c>
      <c r="X37" s="100">
        <f t="shared" si="13"/>
        <v>1</v>
      </c>
      <c r="Y37" s="96">
        <v>5184.52173</v>
      </c>
      <c r="Z37" s="105"/>
      <c r="AA37" s="105">
        <v>5184.52173</v>
      </c>
      <c r="AB37" s="105">
        <v>0</v>
      </c>
      <c r="AC37" s="105">
        <f t="shared" si="5"/>
        <v>299096.53997000004</v>
      </c>
      <c r="AD37" s="105">
        <f t="shared" si="5"/>
        <v>219858.22997</v>
      </c>
      <c r="AE37" s="105">
        <f t="shared" si="5"/>
        <v>47464.435</v>
      </c>
      <c r="AF37" s="105">
        <f t="shared" si="14"/>
        <v>31773.87500000006</v>
      </c>
      <c r="AG37" s="105">
        <f t="shared" si="34"/>
        <v>1588.693750000003</v>
      </c>
      <c r="AH37" s="105">
        <f t="shared" si="23"/>
        <v>6773.2154800000035</v>
      </c>
      <c r="AI37" s="106">
        <f t="shared" si="22"/>
        <v>0</v>
      </c>
      <c r="AJ37" s="98"/>
      <c r="AK37" s="107">
        <f>IF(AI37&lt;=0.05,1.5,0)</f>
        <v>1.5</v>
      </c>
      <c r="AL37" s="100">
        <f t="shared" si="8"/>
        <v>1.5</v>
      </c>
      <c r="AM37" s="108">
        <v>10821</v>
      </c>
      <c r="AN37" s="99">
        <v>12266</v>
      </c>
      <c r="AO37" s="116">
        <f t="shared" si="9"/>
        <v>0.8821946844937225</v>
      </c>
      <c r="AP37" s="98"/>
      <c r="AQ37" s="107">
        <f>IF(AO37&lt;=1,1,0)</f>
        <v>1</v>
      </c>
      <c r="AR37" s="109">
        <f t="shared" si="15"/>
        <v>1</v>
      </c>
      <c r="AS37" s="108">
        <v>27918</v>
      </c>
      <c r="AT37" s="99">
        <v>30284</v>
      </c>
      <c r="AU37" s="106">
        <f t="shared" si="10"/>
        <v>0.9218729362039361</v>
      </c>
      <c r="AV37" s="98"/>
      <c r="AW37" s="107">
        <f>IF(AU37&lt;=1,1,0)</f>
        <v>1</v>
      </c>
      <c r="AX37" s="109">
        <f t="shared" si="11"/>
        <v>1</v>
      </c>
      <c r="AY37" s="110">
        <f t="shared" si="16"/>
        <v>6.5</v>
      </c>
      <c r="AZ37" s="112"/>
      <c r="BA37" s="93"/>
      <c r="BB37" s="71"/>
      <c r="BC37" s="85"/>
      <c r="BD37" s="71"/>
      <c r="BE37" s="87"/>
      <c r="BF37" s="87"/>
      <c r="BG37" s="87"/>
      <c r="BH37" s="71"/>
      <c r="BJ37" s="85"/>
      <c r="BK37" s="71"/>
      <c r="BL37" s="87"/>
      <c r="BM37" s="87"/>
      <c r="BN37" s="87"/>
      <c r="BO37" s="71"/>
    </row>
    <row r="38" spans="1:67" s="84" customFormat="1" ht="12.75">
      <c r="A38" s="95" t="s">
        <v>28</v>
      </c>
      <c r="B38" s="96">
        <v>0</v>
      </c>
      <c r="C38" s="96">
        <v>2270.3347000000003</v>
      </c>
      <c r="D38" s="96">
        <v>0</v>
      </c>
      <c r="E38" s="97">
        <f t="shared" si="12"/>
        <v>0</v>
      </c>
      <c r="F38" s="98"/>
      <c r="G38" s="99">
        <f t="shared" si="31"/>
        <v>1</v>
      </c>
      <c r="H38" s="100">
        <f t="shared" si="0"/>
        <v>1</v>
      </c>
      <c r="I38" s="96">
        <v>0</v>
      </c>
      <c r="J38" s="101">
        <v>440884.58677</v>
      </c>
      <c r="K38" s="102">
        <v>339103.58677</v>
      </c>
      <c r="L38" s="96">
        <v>61658.377</v>
      </c>
      <c r="M38" s="96">
        <v>0</v>
      </c>
      <c r="N38" s="97">
        <f t="shared" si="18"/>
        <v>0</v>
      </c>
      <c r="O38" s="98"/>
      <c r="P38" s="99">
        <f t="shared" si="33"/>
        <v>1</v>
      </c>
      <c r="Q38" s="100">
        <f t="shared" si="2"/>
        <v>1</v>
      </c>
      <c r="R38" s="103">
        <v>0</v>
      </c>
      <c r="S38" s="96">
        <v>443154.92147</v>
      </c>
      <c r="T38" s="104">
        <v>180507.40627</v>
      </c>
      <c r="U38" s="97">
        <f t="shared" si="3"/>
        <v>0</v>
      </c>
      <c r="V38" s="98"/>
      <c r="W38" s="99">
        <f t="shared" si="32"/>
        <v>1</v>
      </c>
      <c r="X38" s="100">
        <f t="shared" si="13"/>
        <v>1</v>
      </c>
      <c r="Y38" s="96">
        <v>2270.3347000000003</v>
      </c>
      <c r="Z38" s="105"/>
      <c r="AA38" s="105">
        <v>2270.3347000000003</v>
      </c>
      <c r="AB38" s="105">
        <v>0</v>
      </c>
      <c r="AC38" s="105">
        <f t="shared" si="5"/>
        <v>440884.58677</v>
      </c>
      <c r="AD38" s="105">
        <f t="shared" si="5"/>
        <v>339103.58677</v>
      </c>
      <c r="AE38" s="105">
        <f t="shared" si="5"/>
        <v>61658.377</v>
      </c>
      <c r="AF38" s="105">
        <f t="shared" si="14"/>
        <v>40122.623</v>
      </c>
      <c r="AG38" s="105">
        <f t="shared" si="34"/>
        <v>2006.1311500000002</v>
      </c>
      <c r="AH38" s="105">
        <f t="shared" si="23"/>
        <v>4276.4658500000005</v>
      </c>
      <c r="AI38" s="106">
        <f t="shared" si="22"/>
        <v>0</v>
      </c>
      <c r="AJ38" s="98"/>
      <c r="AK38" s="107">
        <f>IF(AI38&lt;=0.05,1.5,0)</f>
        <v>1.5</v>
      </c>
      <c r="AL38" s="100">
        <f t="shared" si="8"/>
        <v>1.5</v>
      </c>
      <c r="AM38" s="108">
        <v>13411</v>
      </c>
      <c r="AN38" s="99">
        <v>14513</v>
      </c>
      <c r="AO38" s="116">
        <f t="shared" si="9"/>
        <v>0.9240680768965754</v>
      </c>
      <c r="AP38" s="98"/>
      <c r="AQ38" s="107">
        <f>IF(AO38&lt;=1,1,0)</f>
        <v>1</v>
      </c>
      <c r="AR38" s="109">
        <f t="shared" si="15"/>
        <v>1</v>
      </c>
      <c r="AS38" s="108">
        <v>34055</v>
      </c>
      <c r="AT38" s="99">
        <v>34457</v>
      </c>
      <c r="AU38" s="106">
        <f t="shared" si="10"/>
        <v>0.988333284963868</v>
      </c>
      <c r="AV38" s="98"/>
      <c r="AW38" s="107">
        <f>IF(AU38&lt;=1,1,0)</f>
        <v>1</v>
      </c>
      <c r="AX38" s="109">
        <f t="shared" si="11"/>
        <v>1</v>
      </c>
      <c r="AY38" s="110">
        <f t="shared" si="16"/>
        <v>6.5</v>
      </c>
      <c r="AZ38" s="112"/>
      <c r="BA38" s="93"/>
      <c r="BB38" s="71"/>
      <c r="BC38" s="85"/>
      <c r="BD38" s="71"/>
      <c r="BE38" s="87"/>
      <c r="BF38" s="87"/>
      <c r="BG38" s="87"/>
      <c r="BH38" s="71"/>
      <c r="BJ38" s="85"/>
      <c r="BK38" s="71"/>
      <c r="BL38" s="87"/>
      <c r="BM38" s="87"/>
      <c r="BN38" s="87"/>
      <c r="BO38" s="71"/>
    </row>
    <row r="39" spans="1:66" ht="12.75">
      <c r="A39" s="95" t="s">
        <v>29</v>
      </c>
      <c r="B39" s="96">
        <v>0</v>
      </c>
      <c r="C39" s="96">
        <v>3137.12902</v>
      </c>
      <c r="D39" s="96">
        <v>0</v>
      </c>
      <c r="E39" s="97">
        <f t="shared" si="12"/>
        <v>0</v>
      </c>
      <c r="F39" s="98"/>
      <c r="G39" s="99">
        <f t="shared" si="31"/>
        <v>1</v>
      </c>
      <c r="H39" s="100">
        <f>F39+G39</f>
        <v>1</v>
      </c>
      <c r="I39" s="96">
        <v>5000</v>
      </c>
      <c r="J39" s="101">
        <v>466540.9673</v>
      </c>
      <c r="K39" s="102">
        <v>353504.2673</v>
      </c>
      <c r="L39" s="96">
        <v>64173.907</v>
      </c>
      <c r="M39" s="96">
        <v>0</v>
      </c>
      <c r="N39" s="97">
        <f t="shared" si="18"/>
        <v>0.10232734751777285</v>
      </c>
      <c r="O39" s="98"/>
      <c r="P39" s="99">
        <f t="shared" si="33"/>
        <v>1</v>
      </c>
      <c r="Q39" s="100">
        <f>O39+P39</f>
        <v>1</v>
      </c>
      <c r="R39" s="103">
        <v>462.5</v>
      </c>
      <c r="S39" s="96">
        <v>469678.09632</v>
      </c>
      <c r="T39" s="104">
        <v>190625.4645</v>
      </c>
      <c r="U39" s="97">
        <f t="shared" si="3"/>
        <v>0.0016573934350073817</v>
      </c>
      <c r="V39" s="98"/>
      <c r="W39" s="99">
        <f t="shared" si="32"/>
        <v>1</v>
      </c>
      <c r="X39" s="100">
        <f t="shared" si="13"/>
        <v>1</v>
      </c>
      <c r="Y39" s="96">
        <v>3137.12902</v>
      </c>
      <c r="Z39" s="105"/>
      <c r="AA39" s="105">
        <v>3137.12902</v>
      </c>
      <c r="AB39" s="105">
        <v>0</v>
      </c>
      <c r="AC39" s="105">
        <f t="shared" si="5"/>
        <v>466540.9673</v>
      </c>
      <c r="AD39" s="105">
        <f t="shared" si="5"/>
        <v>353504.2673</v>
      </c>
      <c r="AE39" s="105">
        <f t="shared" si="5"/>
        <v>64173.907</v>
      </c>
      <c r="AF39" s="105">
        <f t="shared" si="14"/>
        <v>48862.79300000001</v>
      </c>
      <c r="AG39" s="105">
        <f t="shared" si="34"/>
        <v>2443.1396500000005</v>
      </c>
      <c r="AH39" s="105">
        <f t="shared" si="23"/>
        <v>5580.26867</v>
      </c>
      <c r="AI39" s="106">
        <f t="shared" si="22"/>
        <v>0</v>
      </c>
      <c r="AJ39" s="111"/>
      <c r="AK39" s="107">
        <f>IF(AI39&lt;=0.05,1.5,0)</f>
        <v>1.5</v>
      </c>
      <c r="AL39" s="100">
        <f t="shared" si="8"/>
        <v>1.5</v>
      </c>
      <c r="AM39" s="108">
        <v>16606</v>
      </c>
      <c r="AN39" s="99">
        <v>17572</v>
      </c>
      <c r="AO39" s="116">
        <f t="shared" si="9"/>
        <v>0.9450261780104712</v>
      </c>
      <c r="AP39" s="111"/>
      <c r="AQ39" s="107">
        <f>IF(AO39&lt;=1,1,0)</f>
        <v>1</v>
      </c>
      <c r="AR39" s="109">
        <f>AP39+AQ39</f>
        <v>1</v>
      </c>
      <c r="AS39" s="108">
        <v>34638</v>
      </c>
      <c r="AT39" s="99">
        <v>40219</v>
      </c>
      <c r="AU39" s="106">
        <f t="shared" si="10"/>
        <v>0.8612347397995972</v>
      </c>
      <c r="AV39" s="111"/>
      <c r="AW39" s="107">
        <f>IF(AU39&lt;=1,1,0)</f>
        <v>1</v>
      </c>
      <c r="AX39" s="109">
        <f t="shared" si="11"/>
        <v>1</v>
      </c>
      <c r="AY39" s="110">
        <f t="shared" si="16"/>
        <v>6.5</v>
      </c>
      <c r="AZ39" s="112"/>
      <c r="BA39" s="93"/>
      <c r="BC39" s="85"/>
      <c r="BE39" s="87"/>
      <c r="BF39" s="87"/>
      <c r="BG39" s="87"/>
      <c r="BJ39" s="85"/>
      <c r="BL39" s="87"/>
      <c r="BM39" s="87"/>
      <c r="BN39" s="87"/>
    </row>
    <row r="40" spans="1:66" ht="12.75">
      <c r="A40" s="95" t="s">
        <v>30</v>
      </c>
      <c r="B40" s="96">
        <v>0</v>
      </c>
      <c r="C40" s="96">
        <v>6858.67079</v>
      </c>
      <c r="D40" s="96">
        <v>0</v>
      </c>
      <c r="E40" s="97">
        <f t="shared" si="12"/>
        <v>0</v>
      </c>
      <c r="F40" s="98"/>
      <c r="G40" s="99">
        <f>IF(E40&lt;=1.05,1,0)</f>
        <v>1</v>
      </c>
      <c r="H40" s="100">
        <f t="shared" si="0"/>
        <v>1</v>
      </c>
      <c r="I40" s="96">
        <v>0</v>
      </c>
      <c r="J40" s="101">
        <v>582107.45441</v>
      </c>
      <c r="K40" s="102">
        <v>400580.45441</v>
      </c>
      <c r="L40" s="96">
        <v>107242.913</v>
      </c>
      <c r="M40" s="96">
        <v>0</v>
      </c>
      <c r="N40" s="97">
        <f t="shared" si="18"/>
        <v>0</v>
      </c>
      <c r="O40" s="98"/>
      <c r="P40" s="99">
        <f>IF(N40&lt;=0.5,1,0)</f>
        <v>1</v>
      </c>
      <c r="Q40" s="100">
        <f t="shared" si="2"/>
        <v>1</v>
      </c>
      <c r="R40" s="103">
        <v>0</v>
      </c>
      <c r="S40" s="96">
        <v>588966.1252</v>
      </c>
      <c r="T40" s="104">
        <v>286994.74255</v>
      </c>
      <c r="U40" s="97">
        <f t="shared" si="3"/>
        <v>0</v>
      </c>
      <c r="V40" s="98"/>
      <c r="W40" s="99">
        <f>IF(U40&lt;=0.15,1,0)</f>
        <v>1</v>
      </c>
      <c r="X40" s="100">
        <f t="shared" si="13"/>
        <v>1</v>
      </c>
      <c r="Y40" s="96">
        <v>6858.67079</v>
      </c>
      <c r="Z40" s="105"/>
      <c r="AA40" s="105">
        <v>6858.67079</v>
      </c>
      <c r="AB40" s="105">
        <v>0</v>
      </c>
      <c r="AC40" s="105">
        <f t="shared" si="5"/>
        <v>582107.45441</v>
      </c>
      <c r="AD40" s="105">
        <f t="shared" si="5"/>
        <v>400580.45441</v>
      </c>
      <c r="AE40" s="105">
        <f t="shared" si="5"/>
        <v>107242.913</v>
      </c>
      <c r="AF40" s="105">
        <f t="shared" si="14"/>
        <v>74284.087</v>
      </c>
      <c r="AG40" s="105">
        <f>AF40*10%</f>
        <v>7428.4087</v>
      </c>
      <c r="AH40" s="105">
        <f t="shared" si="23"/>
        <v>14287.07949</v>
      </c>
      <c r="AI40" s="106">
        <f t="shared" si="22"/>
        <v>0</v>
      </c>
      <c r="AJ40" s="98"/>
      <c r="AK40" s="107">
        <f>IF(AI40&lt;=0.05,1.5,0)</f>
        <v>1.5</v>
      </c>
      <c r="AL40" s="100">
        <f t="shared" si="8"/>
        <v>1.5</v>
      </c>
      <c r="AM40" s="108">
        <v>17572</v>
      </c>
      <c r="AN40" s="99">
        <v>17572</v>
      </c>
      <c r="AO40" s="116">
        <f t="shared" si="9"/>
        <v>1</v>
      </c>
      <c r="AP40" s="98"/>
      <c r="AQ40" s="107">
        <f>IF(AO40&lt;=1,1,0)</f>
        <v>1</v>
      </c>
      <c r="AR40" s="109">
        <f>AP40+AQ40</f>
        <v>1</v>
      </c>
      <c r="AS40" s="108">
        <v>39881</v>
      </c>
      <c r="AT40" s="99">
        <v>40219</v>
      </c>
      <c r="AU40" s="106">
        <f t="shared" si="10"/>
        <v>0.9915960118352023</v>
      </c>
      <c r="AV40" s="98"/>
      <c r="AW40" s="107">
        <f>IF(AU40&lt;=1,1,0)</f>
        <v>1</v>
      </c>
      <c r="AX40" s="109">
        <f t="shared" si="11"/>
        <v>1</v>
      </c>
      <c r="AY40" s="110">
        <f t="shared" si="16"/>
        <v>6.5</v>
      </c>
      <c r="AZ40" s="112"/>
      <c r="BA40" s="93"/>
      <c r="BC40" s="85"/>
      <c r="BE40" s="87"/>
      <c r="BF40" s="87"/>
      <c r="BG40" s="87"/>
      <c r="BJ40" s="85"/>
      <c r="BL40" s="87"/>
      <c r="BM40" s="87"/>
      <c r="BN40" s="87"/>
    </row>
    <row r="41" spans="1:66" ht="12.75">
      <c r="A41" s="62" t="s">
        <v>31</v>
      </c>
      <c r="B41" s="63">
        <v>22256.5</v>
      </c>
      <c r="C41" s="63">
        <v>928.5</v>
      </c>
      <c r="D41" s="63">
        <v>21356.5</v>
      </c>
      <c r="E41" s="61">
        <f t="shared" si="12"/>
        <v>0.9987211128561813</v>
      </c>
      <c r="F41" s="7">
        <f>IF(E41&lt;=1.05,1,0)</f>
        <v>1</v>
      </c>
      <c r="G41" s="8"/>
      <c r="H41" s="30">
        <f t="shared" si="0"/>
        <v>1</v>
      </c>
      <c r="I41" s="63">
        <v>22256.5</v>
      </c>
      <c r="J41" s="75">
        <v>233826.3983</v>
      </c>
      <c r="K41" s="94">
        <v>158901.30630000003</v>
      </c>
      <c r="L41" s="63">
        <v>28312.17</v>
      </c>
      <c r="M41" s="63">
        <v>0</v>
      </c>
      <c r="N41" s="61">
        <f t="shared" si="18"/>
        <v>0.4774748941935031</v>
      </c>
      <c r="O41" s="7">
        <f>IF(N41&lt;=1,1,0)</f>
        <v>1</v>
      </c>
      <c r="P41" s="8"/>
      <c r="Q41" s="30">
        <f t="shared" si="2"/>
        <v>1</v>
      </c>
      <c r="R41" s="64">
        <v>1859.4</v>
      </c>
      <c r="S41" s="63">
        <v>234754.8983</v>
      </c>
      <c r="T41" s="53">
        <v>82189.385</v>
      </c>
      <c r="U41" s="52">
        <f t="shared" si="3"/>
        <v>0.01218755116920647</v>
      </c>
      <c r="V41" s="7">
        <f>IF(U41&lt;=0.15,1,0)</f>
        <v>1</v>
      </c>
      <c r="W41" s="8"/>
      <c r="X41" s="30">
        <f t="shared" si="13"/>
        <v>1</v>
      </c>
      <c r="Y41" s="63">
        <v>928.5</v>
      </c>
      <c r="Z41" s="54"/>
      <c r="AA41" s="54">
        <v>28.5</v>
      </c>
      <c r="AB41" s="54">
        <v>4956.5</v>
      </c>
      <c r="AC41" s="54">
        <f t="shared" si="5"/>
        <v>233826.3983</v>
      </c>
      <c r="AD41" s="54">
        <f t="shared" si="5"/>
        <v>158901.30630000003</v>
      </c>
      <c r="AE41" s="54">
        <f t="shared" si="5"/>
        <v>28312.17</v>
      </c>
      <c r="AF41" s="54">
        <f t="shared" si="14"/>
        <v>46612.92199999998</v>
      </c>
      <c r="AG41" s="54">
        <f>AF41*10%</f>
        <v>4661.292199999998</v>
      </c>
      <c r="AH41" s="54">
        <f t="shared" si="23"/>
        <v>9646.292199999998</v>
      </c>
      <c r="AI41" s="78">
        <f t="shared" si="22"/>
        <v>0</v>
      </c>
      <c r="AJ41" s="33">
        <f>IF(AI41&lt;=0.1,1.5,0)</f>
        <v>1.5</v>
      </c>
      <c r="AK41" s="8"/>
      <c r="AL41" s="30">
        <f t="shared" si="8"/>
        <v>1.5</v>
      </c>
      <c r="AM41" s="25">
        <v>8378</v>
      </c>
      <c r="AN41" s="8">
        <v>9458</v>
      </c>
      <c r="AO41" s="115">
        <f t="shared" si="9"/>
        <v>0.8858109536899978</v>
      </c>
      <c r="AP41" s="32">
        <f>IF(AO41&lt;=1,1,0)</f>
        <v>1</v>
      </c>
      <c r="AQ41" s="8"/>
      <c r="AR41" s="58">
        <f t="shared" si="15"/>
        <v>1</v>
      </c>
      <c r="AS41" s="25">
        <v>21138</v>
      </c>
      <c r="AT41" s="8">
        <v>22910</v>
      </c>
      <c r="AU41" s="76">
        <f t="shared" si="10"/>
        <v>0.9226538629419467</v>
      </c>
      <c r="AV41" s="32">
        <f>IF(AU41&lt;=1,1,0)</f>
        <v>1</v>
      </c>
      <c r="AW41" s="8"/>
      <c r="AX41" s="58">
        <f t="shared" si="11"/>
        <v>1</v>
      </c>
      <c r="AY41" s="68">
        <f t="shared" si="16"/>
        <v>6.5</v>
      </c>
      <c r="AZ41" s="112"/>
      <c r="BA41" s="93"/>
      <c r="BC41" s="85"/>
      <c r="BE41" s="87"/>
      <c r="BF41" s="87"/>
      <c r="BG41" s="87"/>
      <c r="BJ41" s="85"/>
      <c r="BL41" s="87"/>
      <c r="BM41" s="87"/>
      <c r="BN41" s="87"/>
    </row>
    <row r="42" spans="1:66" ht="13.5" thickBot="1">
      <c r="A42" s="62" t="s">
        <v>32</v>
      </c>
      <c r="B42" s="63">
        <v>25472.775</v>
      </c>
      <c r="C42" s="63">
        <v>3509.185</v>
      </c>
      <c r="D42" s="63">
        <v>21963.59</v>
      </c>
      <c r="E42" s="52">
        <f t="shared" si="12"/>
        <v>1</v>
      </c>
      <c r="F42" s="7">
        <f>IF(E42&lt;=1.05,1,0)</f>
        <v>1</v>
      </c>
      <c r="G42" s="8"/>
      <c r="H42" s="30">
        <f t="shared" si="0"/>
        <v>1</v>
      </c>
      <c r="I42" s="63">
        <v>32472.8</v>
      </c>
      <c r="J42" s="75">
        <v>298937.86519</v>
      </c>
      <c r="K42" s="94">
        <v>185196.27819</v>
      </c>
      <c r="L42" s="63">
        <v>32086.865</v>
      </c>
      <c r="M42" s="63">
        <v>0</v>
      </c>
      <c r="N42" s="52">
        <f>(I42-M42)/(J42-K42-L42)</f>
        <v>0.39768428823993807</v>
      </c>
      <c r="O42" s="7">
        <f>IF(N42&lt;=1,1,0)</f>
        <v>1</v>
      </c>
      <c r="P42" s="8"/>
      <c r="Q42" s="30">
        <f t="shared" si="2"/>
        <v>1</v>
      </c>
      <c r="R42" s="83">
        <v>2290.5</v>
      </c>
      <c r="S42" s="63">
        <v>302447.05019</v>
      </c>
      <c r="T42" s="53">
        <v>133361.1391</v>
      </c>
      <c r="U42" s="52">
        <f t="shared" si="3"/>
        <v>0.013546368146431948</v>
      </c>
      <c r="V42" s="7">
        <f>IF(U42&lt;=0.15,1,0)</f>
        <v>1</v>
      </c>
      <c r="W42" s="8"/>
      <c r="X42" s="30">
        <f t="shared" si="13"/>
        <v>1</v>
      </c>
      <c r="Y42" s="63">
        <v>3509.185</v>
      </c>
      <c r="Z42" s="54"/>
      <c r="AA42" s="54">
        <v>0</v>
      </c>
      <c r="AB42" s="54">
        <v>1463.59</v>
      </c>
      <c r="AC42" s="54">
        <f t="shared" si="5"/>
        <v>298937.86519</v>
      </c>
      <c r="AD42" s="54">
        <f t="shared" si="5"/>
        <v>185196.27819</v>
      </c>
      <c r="AE42" s="54">
        <f t="shared" si="5"/>
        <v>32086.865</v>
      </c>
      <c r="AF42" s="54">
        <f t="shared" si="14"/>
        <v>81654.72199999997</v>
      </c>
      <c r="AG42" s="54">
        <f>AF42*10%</f>
        <v>8165.4721999999965</v>
      </c>
      <c r="AH42" s="54">
        <f t="shared" si="23"/>
        <v>9629.062199999997</v>
      </c>
      <c r="AI42" s="77">
        <f t="shared" si="22"/>
        <v>0.025051766142808015</v>
      </c>
      <c r="AJ42" s="33">
        <f>IF(AI42&lt;=0.1,1.5,0)</f>
        <v>1.5</v>
      </c>
      <c r="AK42" s="8"/>
      <c r="AL42" s="30">
        <f t="shared" si="8"/>
        <v>1.5</v>
      </c>
      <c r="AM42" s="25">
        <v>7417</v>
      </c>
      <c r="AN42" s="8">
        <v>9458</v>
      </c>
      <c r="AO42" s="115">
        <f t="shared" si="9"/>
        <v>0.784203848593783</v>
      </c>
      <c r="AP42" s="32">
        <f>IF(AO42&lt;=1,1,0)</f>
        <v>1</v>
      </c>
      <c r="AQ42" s="8"/>
      <c r="AR42" s="58">
        <f t="shared" si="15"/>
        <v>1</v>
      </c>
      <c r="AS42" s="25">
        <v>20412</v>
      </c>
      <c r="AT42" s="8">
        <v>22910</v>
      </c>
      <c r="AU42" s="76">
        <f t="shared" si="10"/>
        <v>0.8909646442601484</v>
      </c>
      <c r="AV42" s="32">
        <f>IF(AU42&lt;=1,1,0)</f>
        <v>1</v>
      </c>
      <c r="AW42" s="8"/>
      <c r="AX42" s="58">
        <f t="shared" si="11"/>
        <v>1</v>
      </c>
      <c r="AY42" s="81">
        <f t="shared" si="16"/>
        <v>6.5</v>
      </c>
      <c r="AZ42" s="112"/>
      <c r="BA42" s="93"/>
      <c r="BC42" s="85"/>
      <c r="BE42" s="87"/>
      <c r="BF42" s="87"/>
      <c r="BG42" s="87"/>
      <c r="BJ42" s="85"/>
      <c r="BL42" s="87"/>
      <c r="BM42" s="87"/>
      <c r="BN42" s="87"/>
    </row>
    <row r="43" spans="1:67" ht="14.25" thickBot="1" thickTop="1">
      <c r="A43" s="65" t="s">
        <v>33</v>
      </c>
      <c r="B43" s="66">
        <f>SUM(B10:B42)</f>
        <v>2049122.625</v>
      </c>
      <c r="C43" s="66">
        <f>SUM(C10:C42)</f>
        <v>570219.09821</v>
      </c>
      <c r="D43" s="66">
        <f>SUM(D10:D42)</f>
        <v>2075683.7650000001</v>
      </c>
      <c r="E43" s="9"/>
      <c r="F43" s="9"/>
      <c r="G43" s="9"/>
      <c r="H43" s="21"/>
      <c r="I43" s="9">
        <f>SUM(I10:I42)</f>
        <v>2557707.6</v>
      </c>
      <c r="J43" s="9">
        <f>SUM(J10:J42)</f>
        <v>20645926.36895</v>
      </c>
      <c r="K43" s="9">
        <f>SUM(K10:K42)</f>
        <v>14023317.37807</v>
      </c>
      <c r="L43" s="9">
        <f>SUM(L10:L42)</f>
        <v>2073740.254</v>
      </c>
      <c r="M43" s="9">
        <f>SUM(M10:M42)</f>
        <v>0</v>
      </c>
      <c r="N43" s="9"/>
      <c r="O43" s="9"/>
      <c r="P43" s="9"/>
      <c r="Q43" s="21"/>
      <c r="R43" s="31">
        <f>SUM(R10:R42)</f>
        <v>244626.2</v>
      </c>
      <c r="S43" s="9">
        <f>SUM(S10:S42)</f>
        <v>21216145.46716</v>
      </c>
      <c r="T43" s="9">
        <f>SUM(T10:T42)</f>
        <v>8586896.681739999</v>
      </c>
      <c r="U43" s="9"/>
      <c r="V43" s="9"/>
      <c r="W43" s="9"/>
      <c r="X43" s="21"/>
      <c r="Y43" s="14">
        <f aca="true" t="shared" si="35" ref="Y43:AE43">SUM(Y10:Y42)</f>
        <v>570219.09821</v>
      </c>
      <c r="Z43" s="26">
        <f t="shared" si="35"/>
        <v>22323.2</v>
      </c>
      <c r="AA43" s="26">
        <f t="shared" si="35"/>
        <v>574457.03821</v>
      </c>
      <c r="AB43" s="26">
        <f t="shared" si="35"/>
        <v>6420.09</v>
      </c>
      <c r="AC43" s="26">
        <f t="shared" si="35"/>
        <v>20645926.36895</v>
      </c>
      <c r="AD43" s="26">
        <f t="shared" si="35"/>
        <v>14023317.37807</v>
      </c>
      <c r="AE43" s="26">
        <f t="shared" si="35"/>
        <v>2073740.254</v>
      </c>
      <c r="AF43" s="14"/>
      <c r="AG43" s="14"/>
      <c r="AH43" s="14"/>
      <c r="AI43" s="9"/>
      <c r="AJ43" s="9"/>
      <c r="AK43" s="9"/>
      <c r="AL43" s="9"/>
      <c r="AM43" s="26">
        <f>SUM(AM10:AM42)</f>
        <v>640605</v>
      </c>
      <c r="AN43" s="26">
        <f>SUM(AN10:AN42)</f>
        <v>693600</v>
      </c>
      <c r="AO43" s="9"/>
      <c r="AP43" s="9"/>
      <c r="AQ43" s="9"/>
      <c r="AR43" s="9"/>
      <c r="AS43" s="26">
        <f>SUM(AS10:AS42)</f>
        <v>1437385</v>
      </c>
      <c r="AT43" s="26">
        <f>SUM(AT10:AT42)</f>
        <v>1524527</v>
      </c>
      <c r="AU43" s="9"/>
      <c r="AV43" s="9"/>
      <c r="AW43" s="9"/>
      <c r="AX43" s="9"/>
      <c r="AY43" s="67"/>
      <c r="AZ43" s="121"/>
      <c r="BA43" s="1"/>
      <c r="BC43" s="90"/>
      <c r="BD43" s="89"/>
      <c r="BE43" s="89"/>
      <c r="BF43" s="89"/>
      <c r="BG43" s="89"/>
      <c r="BH43" s="89"/>
      <c r="BJ43" s="84"/>
      <c r="BK43" s="122"/>
      <c r="BL43" s="122"/>
      <c r="BM43" s="122"/>
      <c r="BN43" s="122"/>
      <c r="BO43" s="122"/>
    </row>
    <row r="44" ht="13.5" thickTop="1">
      <c r="BA44" s="1"/>
    </row>
    <row r="45" ht="12.75">
      <c r="L45" s="86"/>
    </row>
    <row r="46" ht="12.75">
      <c r="L46" s="118"/>
    </row>
  </sheetData>
  <sheetProtection/>
  <mergeCells count="14">
    <mergeCell ref="B5:D5"/>
    <mergeCell ref="I5:K5"/>
    <mergeCell ref="R5:T5"/>
    <mergeCell ref="Y5:AA5"/>
    <mergeCell ref="AM5:AN5"/>
    <mergeCell ref="AS4:AX4"/>
    <mergeCell ref="AS5:AT5"/>
    <mergeCell ref="AM4:AR4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Хохлова Н.В.</cp:lastModifiedBy>
  <cp:lastPrinted>2018-04-27T09:10:54Z</cp:lastPrinted>
  <dcterms:created xsi:type="dcterms:W3CDTF">2010-04-09T11:34:58Z</dcterms:created>
  <dcterms:modified xsi:type="dcterms:W3CDTF">2018-04-27T09:39:45Z</dcterms:modified>
  <cp:category/>
  <cp:version/>
  <cp:contentType/>
  <cp:contentStatus/>
</cp:coreProperties>
</file>