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за 2017 год 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<sst xmlns="http://schemas.openxmlformats.org/spreadsheetml/2006/main" count="149" uniqueCount="109">
  <si>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тыс.руб.</t>
  </si>
  <si>
    <t>P1</t>
  </si>
  <si>
    <t>P2</t>
  </si>
  <si>
    <t>P3</t>
  </si>
  <si>
    <t>P4</t>
  </si>
  <si>
    <t>P5.1</t>
  </si>
  <si>
    <t>P5.2</t>
  </si>
  <si>
    <r>
      <t xml:space="preserve">Объем заимствований муниципального образования в </t>
    </r>
    <r>
      <rPr>
        <b/>
        <sz val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</si>
  <si>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</si>
  <si>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</si>
  <si>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</si>
  <si>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</si>
  <si>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</si>
  <si>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</si>
  <si>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</si>
  <si>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</si>
  <si>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</si>
  <si>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</si>
  <si>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</si>
  <si>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</si>
  <si>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</si>
  <si>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</si>
  <si>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</si>
  <si>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</si>
  <si>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</si>
  <si>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</si>
  <si>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</si>
  <si>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</si>
  <si>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</si>
  <si>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</si>
  <si>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</si>
  <si>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</si>
  <si>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</si>
  <si>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</si>
  <si>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</si>
  <si>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</si>
  <si>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</si>
  <si>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</si>
  <si>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</si>
  <si>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</si>
  <si>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</si>
  <si>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Итоговое значение</t>
  </si>
  <si>
    <t>Дотации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</si>
  <si>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</si>
  <si>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</si>
  <si>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</si>
  <si>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</si>
  <si>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</si>
  <si>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</si>
  <si>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</si>
  <si>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</si>
  <si>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</si>
  <si>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</si>
  <si>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</si>
  <si>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</si>
  <si>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</si>
  <si>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</si>
  <si>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</si>
  <si>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</si>
  <si>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</si>
  <si>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Доля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</si>
  <si>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</si>
  <si>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</si>
  <si>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</si>
  <si>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</si>
  <si>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</si>
  <si>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</si>
  <si>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>дотаций</t>
  </si>
  <si>
    <t>до 4,9%</t>
  </si>
  <si>
    <t>от 5 до 19,9</t>
  </si>
  <si>
    <t>от 20 до 49,9</t>
  </si>
  <si>
    <t xml:space="preserve">от 50 до 89,9 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</si>
  <si>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</si>
  <si>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</si>
  <si>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</si>
  <si>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</si>
  <si>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</si>
  <si>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</si>
  <si>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</si>
  <si>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</si>
  <si>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</si>
  <si>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</si>
  <si>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</si>
  <si>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</si>
  <si>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</si>
  <si>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</si>
  <si>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</si>
  <si>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</si>
  <si>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</si>
  <si>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</si>
  <si>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</si>
  <si>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</si>
  <si>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</si>
  <si>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</si>
  <si>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</si>
  <si>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</si>
  <si>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</si>
  <si>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</si>
  <si>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</si>
  <si>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</si>
  <si>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</si>
  <si>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</si>
  <si>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</si>
  <si>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</si>
  <si>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</si>
  <si>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</si>
  <si>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ГО</t>
  </si>
  <si>
    <t>МР</t>
  </si>
  <si>
    <t xml:space="preserve">Мониторинг соблюдения органами местного самоуправления городских округов и муниципальных районов области требований бюджетного законодательства и оценки качества организации и осуществления бюджетного процесса за 2017 год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</si>
</sst>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0.000"/>
    <numFmt numFmtId="170" formatCode="0.0000"/>
    <numFmt numFmtId="171" formatCode="0.0_ ;[Red]\-0.0\ "/>
    <numFmt numFmtId="172" formatCode="0.0"/>
    <numFmt numFmtId="173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2" fillId="37" borderId="17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34" borderId="0" xfId="0" applyFill="1" applyAlignment="1">
      <alignment horizontal="center"/>
    </xf>
    <xf numFmtId="0" fontId="11" fillId="40" borderId="26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1" fillId="40" borderId="22" xfId="0" applyFont="1" applyFill="1" applyBorder="1" applyAlignment="1">
      <alignment horizontal="center"/>
    </xf>
    <xf numFmtId="0" fontId="11" fillId="40" borderId="27" xfId="0" applyFont="1" applyFill="1" applyBorder="1" applyAlignment="1">
      <alignment horizontal="center"/>
    </xf>
    <xf numFmtId="0" fontId="11" fillId="40" borderId="28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0" fontId="11" fillId="40" borderId="23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17" fontId="0" fillId="34" borderId="0" xfId="0" applyNumberFormat="1" applyFill="1" applyAlignment="1">
      <alignment/>
    </xf>
    <xf numFmtId="0" fontId="2" fillId="0" borderId="29" xfId="0" applyFont="1" applyBorder="1" applyAlignment="1">
      <alignment/>
    </xf>
    <xf numFmtId="165" fontId="2" fillId="0" borderId="30" xfId="58" applyNumberFormat="1" applyFont="1" applyFill="1" applyBorder="1" applyAlignment="1">
      <alignment/>
    </xf>
    <xf numFmtId="164" fontId="7" fillId="0" borderId="30" xfId="58" applyNumberFormat="1" applyFont="1" applyBorder="1" applyAlignment="1">
      <alignment/>
    </xf>
    <xf numFmtId="166" fontId="2" fillId="0" borderId="31" xfId="58" applyNumberFormat="1" applyFont="1" applyBorder="1" applyAlignment="1">
      <alignment/>
    </xf>
    <xf numFmtId="166" fontId="2" fillId="0" borderId="11" xfId="58" applyNumberFormat="1" applyFont="1" applyBorder="1" applyAlignment="1">
      <alignment/>
    </xf>
    <xf numFmtId="167" fontId="7" fillId="0" borderId="32" xfId="58" applyNumberFormat="1" applyFont="1" applyBorder="1" applyAlignment="1">
      <alignment/>
    </xf>
    <xf numFmtId="165" fontId="2" fillId="34" borderId="30" xfId="58" applyNumberFormat="1" applyFont="1" applyFill="1" applyBorder="1" applyAlignment="1">
      <alignment/>
    </xf>
    <xf numFmtId="164" fontId="2" fillId="0" borderId="30" xfId="58" applyNumberFormat="1" applyFont="1" applyFill="1" applyBorder="1" applyAlignment="1">
      <alignment/>
    </xf>
    <xf numFmtId="4" fontId="2" fillId="0" borderId="31" xfId="58" applyNumberFormat="1" applyFont="1" applyFill="1" applyBorder="1" applyAlignment="1">
      <alignment/>
    </xf>
    <xf numFmtId="164" fontId="7" fillId="0" borderId="30" xfId="58" applyNumberFormat="1" applyFont="1" applyFill="1" applyBorder="1" applyAlignment="1">
      <alignment/>
    </xf>
    <xf numFmtId="165" fontId="2" fillId="0" borderId="33" xfId="58" applyNumberFormat="1" applyFont="1" applyFill="1" applyBorder="1" applyAlignment="1">
      <alignment/>
    </xf>
    <xf numFmtId="168" fontId="2" fillId="0" borderId="31" xfId="58" applyNumberFormat="1" applyFont="1" applyFill="1" applyBorder="1" applyAlignment="1">
      <alignment/>
    </xf>
    <xf numFmtId="165" fontId="2" fillId="0" borderId="11" xfId="58" applyNumberFormat="1" applyFont="1" applyFill="1" applyBorder="1" applyAlignment="1">
      <alignment/>
    </xf>
    <xf numFmtId="165" fontId="2" fillId="0" borderId="11" xfId="58" applyNumberFormat="1" applyFont="1" applyBorder="1" applyAlignment="1">
      <alignment/>
    </xf>
    <xf numFmtId="169" fontId="7" fillId="0" borderId="11" xfId="58" applyNumberFormat="1" applyFont="1" applyBorder="1" applyAlignment="1">
      <alignment/>
    </xf>
    <xf numFmtId="167" fontId="2" fillId="0" borderId="31" xfId="58" applyNumberFormat="1" applyFont="1" applyFill="1" applyBorder="1" applyAlignment="1">
      <alignment/>
    </xf>
    <xf numFmtId="166" fontId="2" fillId="0" borderId="11" xfId="58" applyNumberFormat="1" applyFont="1" applyFill="1" applyBorder="1" applyAlignment="1">
      <alignment/>
    </xf>
    <xf numFmtId="167" fontId="7" fillId="0" borderId="32" xfId="58" applyNumberFormat="1" applyFont="1" applyFill="1" applyBorder="1" applyAlignment="1">
      <alignment/>
    </xf>
    <xf numFmtId="166" fontId="2" fillId="0" borderId="34" xfId="58" applyNumberFormat="1" applyFont="1" applyFill="1" applyBorder="1" applyAlignment="1">
      <alignment/>
    </xf>
    <xf numFmtId="170" fontId="7" fillId="0" borderId="11" xfId="58" applyNumberFormat="1" applyFont="1" applyBorder="1" applyAlignment="1">
      <alignment/>
    </xf>
    <xf numFmtId="167" fontId="2" fillId="0" borderId="31" xfId="58" applyNumberFormat="1" applyFont="1" applyBorder="1" applyAlignment="1">
      <alignment/>
    </xf>
    <xf numFmtId="171" fontId="7" fillId="0" borderId="11" xfId="58" applyNumberFormat="1" applyFont="1" applyBorder="1" applyAlignment="1">
      <alignment/>
    </xf>
    <xf numFmtId="167" fontId="7" fillId="0" borderId="35" xfId="58" applyNumberFormat="1" applyFont="1" applyBorder="1" applyAlignment="1">
      <alignment/>
    </xf>
    <xf numFmtId="167" fontId="7" fillId="0" borderId="0" xfId="58" applyNumberFormat="1" applyFont="1" applyBorder="1" applyAlignment="1">
      <alignment/>
    </xf>
    <xf numFmtId="172" fontId="2" fillId="0" borderId="0" xfId="0" applyNumberFormat="1" applyFont="1" applyAlignment="1">
      <alignment/>
    </xf>
    <xf numFmtId="173" fontId="3" fillId="34" borderId="0" xfId="55" applyNumberFormat="1" applyFont="1" applyFill="1" applyAlignment="1">
      <alignment/>
    </xf>
    <xf numFmtId="0" fontId="7" fillId="0" borderId="0" xfId="0" applyFont="1" applyAlignment="1">
      <alignment/>
    </xf>
    <xf numFmtId="0" fontId="2" fillId="41" borderId="36" xfId="0" applyFont="1" applyFill="1" applyBorder="1" applyAlignment="1">
      <alignment/>
    </xf>
    <xf numFmtId="165" fontId="2" fillId="41" borderId="30" xfId="58" applyNumberFormat="1" applyFont="1" applyFill="1" applyBorder="1" applyAlignment="1">
      <alignment/>
    </xf>
    <xf numFmtId="164" fontId="7" fillId="41" borderId="30" xfId="58" applyNumberFormat="1" applyFont="1" applyFill="1" applyBorder="1" applyAlignment="1">
      <alignment/>
    </xf>
    <xf numFmtId="166" fontId="2" fillId="41" borderId="31" xfId="58" applyNumberFormat="1" applyFont="1" applyFill="1" applyBorder="1" applyAlignment="1">
      <alignment/>
    </xf>
    <xf numFmtId="166" fontId="2" fillId="41" borderId="11" xfId="58" applyNumberFormat="1" applyFont="1" applyFill="1" applyBorder="1" applyAlignment="1">
      <alignment/>
    </xf>
    <xf numFmtId="167" fontId="7" fillId="41" borderId="32" xfId="58" applyNumberFormat="1" applyFont="1" applyFill="1" applyBorder="1" applyAlignment="1">
      <alignment/>
    </xf>
    <xf numFmtId="164" fontId="2" fillId="41" borderId="30" xfId="58" applyNumberFormat="1" applyFont="1" applyFill="1" applyBorder="1" applyAlignment="1">
      <alignment/>
    </xf>
    <xf numFmtId="4" fontId="2" fillId="41" borderId="31" xfId="58" applyNumberFormat="1" applyFont="1" applyFill="1" applyBorder="1" applyAlignment="1">
      <alignment/>
    </xf>
    <xf numFmtId="165" fontId="2" fillId="41" borderId="34" xfId="58" applyNumberFormat="1" applyFont="1" applyFill="1" applyBorder="1" applyAlignment="1">
      <alignment/>
    </xf>
    <xf numFmtId="168" fontId="2" fillId="41" borderId="31" xfId="58" applyNumberFormat="1" applyFont="1" applyFill="1" applyBorder="1" applyAlignment="1">
      <alignment/>
    </xf>
    <xf numFmtId="165" fontId="2" fillId="41" borderId="11" xfId="58" applyNumberFormat="1" applyFont="1" applyFill="1" applyBorder="1" applyAlignment="1">
      <alignment/>
    </xf>
    <xf numFmtId="169" fontId="7" fillId="41" borderId="11" xfId="58" applyNumberFormat="1" applyFont="1" applyFill="1" applyBorder="1" applyAlignment="1">
      <alignment/>
    </xf>
    <xf numFmtId="167" fontId="2" fillId="41" borderId="31" xfId="58" applyNumberFormat="1" applyFont="1" applyFill="1" applyBorder="1" applyAlignment="1">
      <alignment/>
    </xf>
    <xf numFmtId="167" fontId="2" fillId="41" borderId="11" xfId="58" applyNumberFormat="1" applyFont="1" applyFill="1" applyBorder="1" applyAlignment="1">
      <alignment/>
    </xf>
    <xf numFmtId="166" fontId="2" fillId="41" borderId="34" xfId="58" applyNumberFormat="1" applyFont="1" applyFill="1" applyBorder="1" applyAlignment="1">
      <alignment/>
    </xf>
    <xf numFmtId="170" fontId="7" fillId="41" borderId="11" xfId="58" applyNumberFormat="1" applyFont="1" applyFill="1" applyBorder="1" applyAlignment="1">
      <alignment/>
    </xf>
    <xf numFmtId="171" fontId="7" fillId="41" borderId="11" xfId="58" applyNumberFormat="1" applyFont="1" applyFill="1" applyBorder="1" applyAlignment="1">
      <alignment/>
    </xf>
    <xf numFmtId="167" fontId="7" fillId="41" borderId="35" xfId="58" applyNumberFormat="1" applyFont="1" applyFill="1" applyBorder="1" applyAlignment="1">
      <alignment/>
    </xf>
    <xf numFmtId="167" fontId="7" fillId="42" borderId="0" xfId="58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166" fontId="2" fillId="0" borderId="31" xfId="58" applyNumberFormat="1" applyFont="1" applyFill="1" applyBorder="1" applyAlignment="1">
      <alignment/>
    </xf>
    <xf numFmtId="165" fontId="2" fillId="0" borderId="34" xfId="58" applyNumberFormat="1" applyFont="1" applyFill="1" applyBorder="1" applyAlignment="1">
      <alignment/>
    </xf>
    <xf numFmtId="167" fontId="7" fillId="0" borderId="35" xfId="58" applyNumberFormat="1" applyFont="1" applyFill="1" applyBorder="1" applyAlignment="1">
      <alignment/>
    </xf>
    <xf numFmtId="167" fontId="7" fillId="0" borderId="0" xfId="58" applyNumberFormat="1" applyFont="1" applyFill="1" applyBorder="1" applyAlignment="1">
      <alignment/>
    </xf>
    <xf numFmtId="170" fontId="7" fillId="0" borderId="11" xfId="58" applyNumberFormat="1" applyFont="1" applyFill="1" applyBorder="1" applyAlignment="1">
      <alignment/>
    </xf>
    <xf numFmtId="169" fontId="7" fillId="0" borderId="11" xfId="58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67" fontId="2" fillId="0" borderId="11" xfId="58" applyNumberFormat="1" applyFont="1" applyFill="1" applyBorder="1" applyAlignment="1">
      <alignment/>
    </xf>
    <xf numFmtId="171" fontId="7" fillId="0" borderId="11" xfId="58" applyNumberFormat="1" applyFont="1" applyFill="1" applyBorder="1" applyAlignment="1">
      <alignment/>
    </xf>
    <xf numFmtId="165" fontId="2" fillId="0" borderId="30" xfId="58" applyNumberFormat="1" applyFont="1" applyBorder="1" applyAlignment="1">
      <alignment/>
    </xf>
    <xf numFmtId="164" fontId="2" fillId="0" borderId="30" xfId="58" applyNumberFormat="1" applyFont="1" applyBorder="1" applyAlignment="1">
      <alignment/>
    </xf>
    <xf numFmtId="165" fontId="2" fillId="0" borderId="34" xfId="58" applyNumberFormat="1" applyFont="1" applyBorder="1" applyAlignment="1">
      <alignment/>
    </xf>
    <xf numFmtId="169" fontId="7" fillId="34" borderId="11" xfId="58" applyNumberFormat="1" applyFont="1" applyFill="1" applyBorder="1" applyAlignment="1">
      <alignment/>
    </xf>
    <xf numFmtId="166" fontId="2" fillId="0" borderId="34" xfId="58" applyNumberFormat="1" applyFont="1" applyBorder="1" applyAlignment="1">
      <alignment/>
    </xf>
    <xf numFmtId="167" fontId="7" fillId="34" borderId="35" xfId="58" applyNumberFormat="1" applyFont="1" applyFill="1" applyBorder="1" applyAlignment="1">
      <alignment/>
    </xf>
    <xf numFmtId="167" fontId="7" fillId="34" borderId="0" xfId="58" applyNumberFormat="1" applyFont="1" applyFill="1" applyBorder="1" applyAlignment="1">
      <alignment/>
    </xf>
    <xf numFmtId="165" fontId="2" fillId="0" borderId="37" xfId="58" applyNumberFormat="1" applyFont="1" applyBorder="1" applyAlignment="1">
      <alignment/>
    </xf>
    <xf numFmtId="0" fontId="7" fillId="40" borderId="38" xfId="0" applyFont="1" applyFill="1" applyBorder="1" applyAlignment="1" applyProtection="1">
      <alignment/>
      <protection/>
    </xf>
    <xf numFmtId="167" fontId="7" fillId="40" borderId="39" xfId="58" applyNumberFormat="1" applyFont="1" applyFill="1" applyBorder="1" applyAlignment="1">
      <alignment horizontal="center"/>
    </xf>
    <xf numFmtId="166" fontId="7" fillId="40" borderId="40" xfId="58" applyNumberFormat="1" applyFont="1" applyFill="1" applyBorder="1" applyAlignment="1">
      <alignment horizontal="center"/>
    </xf>
    <xf numFmtId="166" fontId="7" fillId="40" borderId="41" xfId="58" applyNumberFormat="1" applyFont="1" applyFill="1" applyBorder="1" applyAlignment="1">
      <alignment horizontal="center"/>
    </xf>
    <xf numFmtId="167" fontId="7" fillId="40" borderId="40" xfId="58" applyNumberFormat="1" applyFont="1" applyFill="1" applyBorder="1" applyAlignment="1">
      <alignment horizontal="center"/>
    </xf>
    <xf numFmtId="167" fontId="7" fillId="40" borderId="42" xfId="58" applyNumberFormat="1" applyFont="1" applyFill="1" applyBorder="1" applyAlignment="1">
      <alignment horizontal="center"/>
    </xf>
    <xf numFmtId="167" fontId="7" fillId="40" borderId="43" xfId="58" applyNumberFormat="1" applyFont="1" applyFill="1" applyBorder="1" applyAlignment="1">
      <alignment horizontal="center"/>
    </xf>
    <xf numFmtId="166" fontId="7" fillId="40" borderId="42" xfId="58" applyNumberFormat="1" applyFont="1" applyFill="1" applyBorder="1" applyAlignment="1">
      <alignment horizontal="center"/>
    </xf>
    <xf numFmtId="166" fontId="7" fillId="40" borderId="43" xfId="58" applyNumberFormat="1" applyFont="1" applyFill="1" applyBorder="1" applyAlignment="1">
      <alignment horizontal="center"/>
    </xf>
    <xf numFmtId="166" fontId="7" fillId="40" borderId="44" xfId="58" applyNumberFormat="1" applyFont="1" applyFill="1" applyBorder="1" applyAlignment="1">
      <alignment horizontal="center"/>
    </xf>
    <xf numFmtId="166" fontId="7" fillId="40" borderId="0" xfId="58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0" fontId="12" fillId="13" borderId="0" xfId="0" applyFont="1" applyFill="1" applyAlignment="1">
      <alignment/>
    </xf>
    <xf numFmtId="43" fontId="0" fillId="0" borderId="0" xfId="0" applyNumberFormat="1" applyAlignment="1">
      <alignment/>
    </xf>
    <xf numFmtId="43" fontId="4" fillId="0" borderId="45" xfId="58" applyFont="1" applyBorder="1" applyAlignment="1">
      <alignment wrapText="1"/>
    </xf>
    <xf numFmtId="165" fontId="0" fillId="0" borderId="0" xfId="0" applyNumberFormat="1" applyFill="1" applyBorder="1" applyAlignment="1">
      <alignment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8" borderId="46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43" borderId="51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3" borderId="52" xfId="0" applyFont="1" applyFill="1" applyBorder="1" applyAlignment="1">
      <alignment horizontal="center" vertical="center"/>
    </xf>
    <xf numFmtId="43" fontId="4" fillId="0" borderId="0" xfId="58" applyFont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45"/>
  <sheetViews>
    <sheetView tabSelected="1" zoomScale="69" zoomScaleNormal="69" zoomScalePageLayoutView="0" workbookViewId="0" topLeftCell="AN1">
      <selection activeCell="AT5" sqref="AT5"/>
    </sheetView>
  </sheetViews>
  <sheetFormatPr defaultColWidth="9.140625" defaultRowHeight="15"/>
  <cols>
    <col min="1" max="1" width="21.421875" style="0" customWidth="1"/>
    <col min="2" max="2" width="22.00390625" style="0" customWidth="1"/>
    <col min="3" max="3" width="20.28125" style="0" customWidth="1"/>
    <col min="4" max="4" width="20.140625" style="0" customWidth="1"/>
    <col min="5" max="5" width="32.8515625" style="0" customWidth="1"/>
    <col min="6" max="6" width="21.57421875" style="0" customWidth="1"/>
    <col min="7" max="7" width="23.7109375" style="0" customWidth="1"/>
    <col min="8" max="8" width="21.57421875" style="0" customWidth="1"/>
    <col min="9" max="9" width="18.8515625" style="0" customWidth="1"/>
    <col min="10" max="10" width="20.140625" style="0" customWidth="1"/>
    <col min="11" max="11" width="17.7109375" style="0" customWidth="1"/>
    <col min="12" max="12" width="17.421875" style="0" customWidth="1"/>
    <col min="13" max="13" width="14.140625" style="0" customWidth="1"/>
    <col min="14" max="14" width="19.57421875" style="0" customWidth="1"/>
    <col min="15" max="15" width="22.28125" style="0" customWidth="1"/>
    <col min="16" max="16" width="17.140625" style="0" customWidth="1"/>
    <col min="17" max="17" width="19.57421875" style="0" customWidth="1"/>
    <col min="18" max="18" width="21.57421875" style="0" customWidth="1"/>
    <col min="19" max="19" width="25.28125" style="0" customWidth="1"/>
    <col min="20" max="20" width="24.28125" style="0" customWidth="1"/>
    <col min="21" max="21" width="29.7109375" style="0" customWidth="1"/>
    <col min="22" max="22" width="18.00390625" style="0" customWidth="1"/>
    <col min="23" max="23" width="23.7109375" style="0" customWidth="1"/>
    <col min="24" max="24" width="14.00390625" style="0" customWidth="1"/>
    <col min="25" max="25" width="15.421875" style="0" customWidth="1"/>
    <col min="26" max="26" width="15.140625" style="0" customWidth="1"/>
    <col min="27" max="27" width="14.57421875" style="0" customWidth="1"/>
    <col min="28" max="28" width="20.7109375" style="0" hidden="1" customWidth="1"/>
    <col min="29" max="30" width="14.28125" style="0" customWidth="1"/>
    <col min="31" max="31" width="13.57421875" style="0" customWidth="1"/>
    <col min="32" max="32" width="15.28125" style="0" hidden="1" customWidth="1"/>
    <col min="33" max="33" width="20.28125" style="0" hidden="1" customWidth="1"/>
    <col min="34" max="34" width="36.57421875" style="0" hidden="1" customWidth="1"/>
    <col min="35" max="35" width="25.421875" style="0" customWidth="1"/>
    <col min="36" max="36" width="10.7109375" style="0" customWidth="1"/>
    <col min="37" max="37" width="16.00390625" style="0" customWidth="1"/>
    <col min="38" max="38" width="13.140625" style="0" customWidth="1"/>
    <col min="39" max="40" width="23.8515625" style="0" customWidth="1"/>
    <col min="41" max="41" width="46.00390625" style="0" customWidth="1"/>
    <col min="42" max="42" width="16.8515625" style="0" customWidth="1"/>
    <col min="43" max="43" width="21.140625" style="0" customWidth="1"/>
    <col min="44" max="44" width="14.7109375" style="0" customWidth="1"/>
    <col min="45" max="45" width="27.28125" style="0" customWidth="1"/>
    <col min="46" max="46" width="24.421875" style="0" customWidth="1"/>
    <col min="47" max="47" width="27.28125" style="0" customWidth="1"/>
    <col min="48" max="48" width="16.8515625" style="0" customWidth="1"/>
    <col min="49" max="49" width="21.140625" style="0" customWidth="1"/>
    <col min="50" max="50" width="14.7109375" style="0" customWidth="1"/>
    <col min="51" max="51" width="13.8515625" style="0" customWidth="1"/>
    <col min="52" max="52" width="0" style="7" hidden="1" customWidth="1"/>
    <col min="53" max="53" width="13.8515625" style="0" hidden="1" customWidth="1"/>
    <col min="54" max="56" width="0" style="7" hidden="1" customWidth="1"/>
    <col min="57" max="59" width="12.28125" style="7" hidden="1" customWidth="1"/>
    <col min="60" max="60" width="11.00390625" style="7" hidden="1" customWidth="1"/>
    <col min="61" max="63" width="0" style="7" hidden="1" customWidth="1"/>
    <col min="64" max="64" width="12.28125" style="7" hidden="1" customWidth="1"/>
    <col min="65" max="65" width="12.8515625" style="7" hidden="1" customWidth="1"/>
    <col min="66" max="66" width="13.00390625" style="7" hidden="1" customWidth="1"/>
    <col min="67" max="68" width="11.00390625" style="7" hidden="1" customWidth="1"/>
    <col min="69" max="71" width="0" style="7" hidden="1" customWidth="1"/>
    <col min="72" max="16384" width="9.140625" style="7" customWidth="1"/>
  </cols>
  <sheetData>
    <row r="1" spans="1:53" s="6" customFormat="1" ht="16.5" customHeight="1">
      <c r="A1" s="141" t="s">
        <v>108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3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5"/>
      <c r="AO1" s="5"/>
      <c r="AP1" s="5"/>
      <c r="AQ1" s="4"/>
      <c r="AR1" s="1"/>
      <c r="AS1" s="4"/>
      <c r="AT1" s="4"/>
      <c r="AU1" s="5"/>
      <c r="AV1" s="5"/>
      <c r="AW1" s="4"/>
      <c r="AX1" s="1"/>
      <c r="AY1" s="1"/>
      <c r="BA1" s="1"/>
    </row>
    <row r="2" spans="2:53" ht="15.75" customHeight="1" thickBot="1">
      <c r="B2" s="129"/>
      <c r="C2" s="129"/>
      <c r="D2" s="129"/>
      <c r="E2" s="129"/>
      <c r="F2" s="129"/>
      <c r="G2" s="129"/>
      <c r="H2" s="129"/>
      <c r="I2" s="8"/>
      <c r="K2" s="9"/>
      <c r="L2" s="8"/>
      <c r="M2" s="8"/>
      <c r="T2" s="8"/>
      <c r="Y2" s="8"/>
      <c r="AE2" s="8"/>
      <c r="AM2" s="8"/>
      <c r="AN2" s="8"/>
      <c r="AO2" s="8"/>
      <c r="BA2" s="1"/>
    </row>
    <row r="3" spans="1:53" ht="15.75" thickTop="1">
      <c r="A3" s="131" t="s">
        <v>0</v>
      </c>
      <c r="B3" s="134"/>
      <c r="C3" s="135"/>
      <c r="D3" s="135"/>
      <c r="E3" s="135"/>
      <c r="F3" s="135"/>
      <c r="G3" s="135"/>
      <c r="H3" s="136"/>
      <c r="I3" s="137"/>
      <c r="J3" s="138"/>
      <c r="K3" s="138"/>
      <c r="L3" s="138"/>
      <c r="M3" s="138"/>
      <c r="N3" s="138"/>
      <c r="O3" s="138"/>
      <c r="P3" s="138"/>
      <c r="Q3" s="139"/>
      <c r="R3" s="137"/>
      <c r="S3" s="138"/>
      <c r="T3" s="138"/>
      <c r="U3" s="138"/>
      <c r="V3" s="138"/>
      <c r="W3" s="138"/>
      <c r="X3" s="139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40"/>
      <c r="AM3" s="137"/>
      <c r="AN3" s="138"/>
      <c r="AO3" s="138"/>
      <c r="AP3" s="138"/>
      <c r="AQ3" s="138"/>
      <c r="AR3" s="140"/>
      <c r="AS3" s="137"/>
      <c r="AT3" s="138"/>
      <c r="AU3" s="138"/>
      <c r="AV3" s="138"/>
      <c r="AW3" s="138"/>
      <c r="AX3" s="140"/>
      <c r="AY3" s="10"/>
      <c r="AZ3" s="11"/>
      <c r="BA3" s="1"/>
    </row>
    <row r="4" spans="1:53" ht="15.75" thickBot="1">
      <c r="A4" s="132"/>
      <c r="B4" s="142"/>
      <c r="C4" s="143"/>
      <c r="D4" s="143"/>
      <c r="E4" s="13" t="s">
        <v>1</v>
      </c>
      <c r="F4" s="14"/>
      <c r="G4" s="15"/>
      <c r="H4" s="16"/>
      <c r="I4" s="144"/>
      <c r="J4" s="143"/>
      <c r="K4" s="143"/>
      <c r="L4" s="12"/>
      <c r="M4" s="12"/>
      <c r="N4" s="13" t="s">
        <v>2</v>
      </c>
      <c r="O4" s="14"/>
      <c r="P4" s="15"/>
      <c r="Q4" s="16"/>
      <c r="R4" s="144"/>
      <c r="S4" s="143"/>
      <c r="T4" s="143"/>
      <c r="U4" s="13" t="s">
        <v>3</v>
      </c>
      <c r="V4" s="14"/>
      <c r="W4" s="15"/>
      <c r="X4" s="16"/>
      <c r="Y4" s="145"/>
      <c r="Z4" s="143"/>
      <c r="AA4" s="143"/>
      <c r="AB4" s="12"/>
      <c r="AC4" s="12"/>
      <c r="AD4" s="12"/>
      <c r="AE4" s="12"/>
      <c r="AF4" s="12"/>
      <c r="AG4" s="12"/>
      <c r="AH4" s="12"/>
      <c r="AI4" s="13" t="s">
        <v>4</v>
      </c>
      <c r="AJ4" s="14"/>
      <c r="AK4" s="15"/>
      <c r="AL4" s="17"/>
      <c r="AM4" s="144"/>
      <c r="AN4" s="143"/>
      <c r="AO4" s="13" t="s">
        <v>5</v>
      </c>
      <c r="AP4" s="14"/>
      <c r="AQ4" s="15"/>
      <c r="AR4" s="17"/>
      <c r="AS4" s="144"/>
      <c r="AT4" s="143"/>
      <c r="AU4" s="13" t="s">
        <v>6</v>
      </c>
      <c r="AV4" s="14"/>
      <c r="AW4" s="15"/>
      <c r="AX4" s="17"/>
      <c r="AY4" s="18"/>
      <c r="AZ4" s="11"/>
      <c r="BA4" s="1"/>
    </row>
    <row r="5" spans="1:53" ht="159.75" customHeight="1" thickBot="1">
      <c r="A5" s="132"/>
      <c r="B5" s="19" t="s">
        <v>7</v>
      </c>
      <c r="C5" s="19" t="s">
        <v>8</v>
      </c>
      <c r="D5" s="19" t="s">
        <v>9</v>
      </c>
      <c r="E5" s="19" t="s">
        <v>10</v>
      </c>
      <c r="F5" s="20" t="s">
        <v>11</v>
      </c>
      <c r="G5" s="20" t="s">
        <v>12</v>
      </c>
      <c r="H5" s="21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19" t="s">
        <v>18</v>
      </c>
      <c r="N5" s="19" t="s">
        <v>19</v>
      </c>
      <c r="O5" s="20" t="s">
        <v>11</v>
      </c>
      <c r="P5" s="20" t="s">
        <v>12</v>
      </c>
      <c r="Q5" s="21" t="s">
        <v>13</v>
      </c>
      <c r="R5" s="19" t="s">
        <v>20</v>
      </c>
      <c r="S5" s="19" t="s">
        <v>21</v>
      </c>
      <c r="T5" s="19" t="s">
        <v>22</v>
      </c>
      <c r="U5" s="19" t="s">
        <v>23</v>
      </c>
      <c r="V5" s="20" t="s">
        <v>11</v>
      </c>
      <c r="W5" s="20" t="s">
        <v>12</v>
      </c>
      <c r="X5" s="21" t="s">
        <v>13</v>
      </c>
      <c r="Y5" s="19" t="s">
        <v>24</v>
      </c>
      <c r="Z5" s="19" t="s">
        <v>25</v>
      </c>
      <c r="AA5" s="19" t="s">
        <v>26</v>
      </c>
      <c r="AB5" s="19" t="s">
        <v>27</v>
      </c>
      <c r="AC5" s="19" t="s">
        <v>28</v>
      </c>
      <c r="AD5" s="19" t="s">
        <v>29</v>
      </c>
      <c r="AE5" s="19" t="s">
        <v>30</v>
      </c>
      <c r="AF5" s="22" t="s">
        <v>31</v>
      </c>
      <c r="AG5" s="22" t="s">
        <v>32</v>
      </c>
      <c r="AH5" s="22" t="s">
        <v>33</v>
      </c>
      <c r="AI5" s="19" t="s">
        <v>34</v>
      </c>
      <c r="AJ5" s="20" t="s">
        <v>11</v>
      </c>
      <c r="AK5" s="20" t="s">
        <v>12</v>
      </c>
      <c r="AL5" s="20" t="s">
        <v>13</v>
      </c>
      <c r="AM5" s="23" t="s">
        <v>35</v>
      </c>
      <c r="AN5" s="19" t="s">
        <v>36</v>
      </c>
      <c r="AO5" s="19" t="s">
        <v>37</v>
      </c>
      <c r="AP5" s="20" t="s">
        <v>11</v>
      </c>
      <c r="AQ5" s="20" t="s">
        <v>12</v>
      </c>
      <c r="AR5" s="20" t="s">
        <v>13</v>
      </c>
      <c r="AS5" s="19" t="s">
        <v>38</v>
      </c>
      <c r="AT5" s="19" t="s">
        <v>39</v>
      </c>
      <c r="AU5" s="19" t="s">
        <v>40</v>
      </c>
      <c r="AV5" s="20" t="s">
        <v>11</v>
      </c>
      <c r="AW5" s="20" t="s">
        <v>12</v>
      </c>
      <c r="AX5" s="20" t="s">
        <v>13</v>
      </c>
      <c r="AY5" s="24" t="s">
        <v>41</v>
      </c>
      <c r="AZ5" s="25"/>
      <c r="BA5" s="1" t="s">
        <v>42</v>
      </c>
    </row>
    <row r="6" spans="1:53" ht="52.5" thickBot="1" thickTop="1">
      <c r="A6" s="133"/>
      <c r="B6" s="26" t="s">
        <v>43</v>
      </c>
      <c r="C6" s="26" t="s">
        <v>44</v>
      </c>
      <c r="D6" s="26" t="s">
        <v>45</v>
      </c>
      <c r="E6" s="26" t="s">
        <v>46</v>
      </c>
      <c r="F6" s="26" t="s">
        <v>47</v>
      </c>
      <c r="G6" s="26" t="s">
        <v>47</v>
      </c>
      <c r="H6" s="27">
        <v>1</v>
      </c>
      <c r="I6" s="26" t="s">
        <v>43</v>
      </c>
      <c r="J6" s="26" t="s">
        <v>44</v>
      </c>
      <c r="K6" s="26" t="s">
        <v>45</v>
      </c>
      <c r="L6" s="26" t="s">
        <v>48</v>
      </c>
      <c r="M6" s="26"/>
      <c r="N6" s="26" t="s">
        <v>49</v>
      </c>
      <c r="O6" s="28" t="s">
        <v>47</v>
      </c>
      <c r="P6" s="29" t="s">
        <v>50</v>
      </c>
      <c r="Q6" s="27">
        <v>1</v>
      </c>
      <c r="R6" s="26" t="s">
        <v>43</v>
      </c>
      <c r="S6" s="26" t="s">
        <v>44</v>
      </c>
      <c r="T6" s="26" t="s">
        <v>45</v>
      </c>
      <c r="U6" s="26" t="s">
        <v>51</v>
      </c>
      <c r="V6" s="26" t="s">
        <v>52</v>
      </c>
      <c r="W6" s="26" t="s">
        <v>52</v>
      </c>
      <c r="X6" s="27">
        <v>1</v>
      </c>
      <c r="Y6" s="26" t="s">
        <v>43</v>
      </c>
      <c r="Z6" s="26" t="s">
        <v>44</v>
      </c>
      <c r="AA6" s="26" t="s">
        <v>45</v>
      </c>
      <c r="AB6" s="26" t="s">
        <v>53</v>
      </c>
      <c r="AC6" s="26" t="s">
        <v>48</v>
      </c>
      <c r="AD6" s="26" t="s">
        <v>54</v>
      </c>
      <c r="AE6" s="26" t="s">
        <v>55</v>
      </c>
      <c r="AF6" s="30"/>
      <c r="AG6" s="30"/>
      <c r="AH6" s="30"/>
      <c r="AI6" s="26" t="s">
        <v>56</v>
      </c>
      <c r="AJ6" s="26" t="s">
        <v>57</v>
      </c>
      <c r="AK6" s="26" t="s">
        <v>58</v>
      </c>
      <c r="AL6" s="26">
        <v>1.5</v>
      </c>
      <c r="AM6" s="26" t="s">
        <v>43</v>
      </c>
      <c r="AN6" s="26" t="s">
        <v>44</v>
      </c>
      <c r="AO6" s="26" t="s">
        <v>59</v>
      </c>
      <c r="AP6" s="26" t="s">
        <v>47</v>
      </c>
      <c r="AQ6" s="26" t="s">
        <v>47</v>
      </c>
      <c r="AR6" s="26">
        <v>1</v>
      </c>
      <c r="AS6" s="26" t="s">
        <v>43</v>
      </c>
      <c r="AT6" s="26" t="s">
        <v>44</v>
      </c>
      <c r="AU6" s="26" t="s">
        <v>59</v>
      </c>
      <c r="AV6" s="26" t="s">
        <v>47</v>
      </c>
      <c r="AW6" s="26" t="s">
        <v>47</v>
      </c>
      <c r="AX6" s="26">
        <v>1</v>
      </c>
      <c r="AY6" s="31"/>
      <c r="AZ6" s="32"/>
      <c r="BA6" s="1"/>
    </row>
    <row r="7" spans="1:62" ht="16.5" thickBot="1" thickTop="1">
      <c r="A7" s="33"/>
      <c r="B7" s="34"/>
      <c r="C7" s="34"/>
      <c r="D7" s="34"/>
      <c r="E7" s="34"/>
      <c r="F7" s="34"/>
      <c r="G7" s="34"/>
      <c r="H7" s="35"/>
      <c r="I7" s="36"/>
      <c r="J7" s="34"/>
      <c r="K7" s="34"/>
      <c r="L7" s="37"/>
      <c r="M7" s="37"/>
      <c r="N7" s="34"/>
      <c r="O7" s="34"/>
      <c r="P7" s="34"/>
      <c r="Q7" s="35"/>
      <c r="R7" s="36"/>
      <c r="S7" s="34"/>
      <c r="T7" s="34"/>
      <c r="U7" s="34"/>
      <c r="V7" s="34"/>
      <c r="W7" s="34"/>
      <c r="X7" s="35"/>
      <c r="Y7" s="130"/>
      <c r="Z7" s="34"/>
      <c r="AA7" s="34"/>
      <c r="AB7" s="37"/>
      <c r="AC7" s="38"/>
      <c r="AD7" s="34"/>
      <c r="AE7" s="34"/>
      <c r="AF7" s="34"/>
      <c r="AG7" s="34"/>
      <c r="AH7" s="34"/>
      <c r="AI7" s="34"/>
      <c r="AJ7" s="34"/>
      <c r="AK7" s="34"/>
      <c r="AL7" s="34"/>
      <c r="AM7" s="39"/>
      <c r="AN7" s="34"/>
      <c r="AO7" s="34"/>
      <c r="AP7" s="34"/>
      <c r="AQ7" s="34"/>
      <c r="AR7" s="34"/>
      <c r="AS7" s="39"/>
      <c r="AT7" s="34"/>
      <c r="AU7" s="34"/>
      <c r="AV7" s="34"/>
      <c r="AW7" s="34"/>
      <c r="AX7" s="34"/>
      <c r="AY7" s="40"/>
      <c r="AZ7" s="34"/>
      <c r="BA7" s="1"/>
      <c r="BJ7" s="41" t="s">
        <v>60</v>
      </c>
    </row>
    <row r="8" spans="1:67" ht="16.5" thickBot="1" thickTop="1">
      <c r="A8" s="42"/>
      <c r="B8" s="43"/>
      <c r="C8" s="43"/>
      <c r="D8" s="43"/>
      <c r="E8" s="43"/>
      <c r="F8" s="43"/>
      <c r="G8" s="43"/>
      <c r="H8" s="44"/>
      <c r="I8" s="45"/>
      <c r="J8" s="43"/>
      <c r="K8" s="43"/>
      <c r="L8" s="43"/>
      <c r="M8" s="43"/>
      <c r="N8" s="43"/>
      <c r="O8" s="43"/>
      <c r="P8" s="43"/>
      <c r="Q8" s="44"/>
      <c r="R8" s="45"/>
      <c r="S8" s="43"/>
      <c r="T8" s="43"/>
      <c r="U8" s="43"/>
      <c r="V8" s="43"/>
      <c r="W8" s="43"/>
      <c r="X8" s="44"/>
      <c r="Y8" s="46"/>
      <c r="Z8" s="43"/>
      <c r="AA8" s="43"/>
      <c r="AB8" s="43"/>
      <c r="AC8" s="43"/>
      <c r="AD8" s="43"/>
      <c r="AE8" s="43"/>
      <c r="AF8" s="43"/>
      <c r="AG8" s="43"/>
      <c r="AH8" s="43"/>
      <c r="AI8" s="47" t="s">
        <v>61</v>
      </c>
      <c r="AJ8" s="43"/>
      <c r="AK8" s="43"/>
      <c r="AL8" s="43"/>
      <c r="AM8" s="45"/>
      <c r="AN8" s="43"/>
      <c r="AO8" s="43"/>
      <c r="AP8" s="43"/>
      <c r="AQ8" s="43"/>
      <c r="AR8" s="43"/>
      <c r="AS8" s="45"/>
      <c r="AT8" s="43"/>
      <c r="AU8" s="43"/>
      <c r="AV8" s="43"/>
      <c r="AW8" s="43"/>
      <c r="AX8" s="43"/>
      <c r="AY8" s="48"/>
      <c r="AZ8" s="49"/>
      <c r="BA8" s="1"/>
      <c r="BD8" s="7" t="s">
        <v>62</v>
      </c>
      <c r="BE8" s="50" t="s">
        <v>63</v>
      </c>
      <c r="BF8" s="7" t="s">
        <v>64</v>
      </c>
      <c r="BG8" s="7" t="s">
        <v>65</v>
      </c>
      <c r="BH8" s="7" t="s">
        <v>66</v>
      </c>
      <c r="BJ8" s="41" t="s">
        <v>67</v>
      </c>
      <c r="BK8" s="7" t="s">
        <v>68</v>
      </c>
      <c r="BL8" s="50" t="s">
        <v>69</v>
      </c>
      <c r="BM8" s="7" t="s">
        <v>70</v>
      </c>
      <c r="BN8" s="7" t="s">
        <v>71</v>
      </c>
      <c r="BO8" s="7" t="s">
        <v>66</v>
      </c>
    </row>
    <row r="9" spans="1:67" ht="15.75" thickTop="1">
      <c r="A9" s="51" t="s">
        <v>72</v>
      </c>
      <c r="B9" s="52">
        <v>1961628</v>
      </c>
      <c r="C9" s="52">
        <v>73424.9</v>
      </c>
      <c r="D9" s="52">
        <v>1961628</v>
      </c>
      <c r="E9" s="53">
        <f>IF(AND(B9=0,D9=0),0,B9/(IF(C9&gt;0,C9,0)+D9))</f>
        <v>0.9639199059641153</v>
      </c>
      <c r="F9" s="54">
        <f>IF(E9&lt;=1.05,1,0)</f>
        <v>1</v>
      </c>
      <c r="G9" s="55"/>
      <c r="H9" s="56">
        <f aca="true" t="shared" si="0" ref="H9:H41">F9+G9</f>
        <v>1</v>
      </c>
      <c r="I9" s="57">
        <v>2352265.4</v>
      </c>
      <c r="J9" s="58">
        <v>7990138.03246</v>
      </c>
      <c r="K9" s="59">
        <v>5138026.75024</v>
      </c>
      <c r="L9" s="57">
        <v>105051.73423999999</v>
      </c>
      <c r="M9" s="52">
        <v>0</v>
      </c>
      <c r="N9" s="60">
        <f>(I9-M9)/(J9-K9-L9)</f>
        <v>0.8562848234322751</v>
      </c>
      <c r="O9" s="54">
        <f aca="true" t="shared" si="1" ref="O9:O15">IF(N9&lt;=1,1,0)</f>
        <v>1</v>
      </c>
      <c r="P9" s="55"/>
      <c r="Q9" s="56">
        <f aca="true" t="shared" si="2" ref="Q9:Q41">O9+P9</f>
        <v>1</v>
      </c>
      <c r="R9" s="61">
        <v>254591.6</v>
      </c>
      <c r="S9" s="61">
        <v>7641284.30147</v>
      </c>
      <c r="T9" s="62">
        <v>2325004.12977</v>
      </c>
      <c r="U9" s="53">
        <f aca="true" t="shared" si="3" ref="U9:U41">R9/(S9-T9)</f>
        <v>0.047889048691462884</v>
      </c>
      <c r="V9" s="54">
        <f aca="true" t="shared" si="4" ref="V9:V15">IF(U9&lt;=0.15,1,0)</f>
        <v>1</v>
      </c>
      <c r="W9" s="55"/>
      <c r="X9" s="56">
        <f>V9+W9</f>
        <v>1</v>
      </c>
      <c r="Y9" s="52">
        <v>-348853.73099</v>
      </c>
      <c r="Z9" s="63">
        <v>5580.8</v>
      </c>
      <c r="AA9" s="63">
        <v>-325906.53099</v>
      </c>
      <c r="AB9" s="64"/>
      <c r="AC9" s="64">
        <v>7990138.03246</v>
      </c>
      <c r="AD9" s="64">
        <v>5138026.75024</v>
      </c>
      <c r="AE9" s="64">
        <v>105051.73423999999</v>
      </c>
      <c r="AF9" s="64">
        <f>AC9-AD9-AE9</f>
        <v>2747059.5479800003</v>
      </c>
      <c r="AG9" s="64">
        <f aca="true" t="shared" si="5" ref="AG9:AG16">AF9*10%</f>
        <v>274705.95479800005</v>
      </c>
      <c r="AH9" s="64">
        <f aca="true" t="shared" si="6" ref="AH9:AH14">IF(AA9&gt;0,AA9,0)+AG9+IF(AB9&gt;0,AB9,0)</f>
        <v>274705.95479800005</v>
      </c>
      <c r="AI9" s="65">
        <f aca="true" t="shared" si="7" ref="AI9:AI41">IF((Y9-IF(Z9&gt;0,Z9,0)-IF(AA9&gt;0,AA9,0)-IF(AB9&gt;0,AB9,0))/(AC9-AD9-AE9)&gt;0,(Y9-IF(Z9&gt;0,Z9,0)-IF(AA9&gt;0,AA9,0)-IF(AB9&gt;0,AB9,0))/(AC9-AD9-AE9),0)</f>
        <v>0</v>
      </c>
      <c r="AJ9" s="66">
        <f>IF(AI9&lt;=0.1,1.5,0)</f>
        <v>1.5</v>
      </c>
      <c r="AK9" s="67"/>
      <c r="AL9" s="68">
        <f aca="true" t="shared" si="8" ref="AL9:AL41">AJ9+AK9</f>
        <v>1.5</v>
      </c>
      <c r="AM9" s="69">
        <v>221195.6</v>
      </c>
      <c r="AN9" s="67">
        <v>224269</v>
      </c>
      <c r="AO9" s="70">
        <f aca="true" t="shared" si="9" ref="AO9:AO41">AM9/AN9</f>
        <v>0.9862959214157998</v>
      </c>
      <c r="AP9" s="71">
        <f>IF(AO9&lt;=1,1,0)</f>
        <v>1</v>
      </c>
      <c r="AQ9" s="55"/>
      <c r="AR9" s="72">
        <f>AP9+AQ9</f>
        <v>1</v>
      </c>
      <c r="AS9" s="69">
        <v>405412.3</v>
      </c>
      <c r="AT9" s="67">
        <v>408720</v>
      </c>
      <c r="AU9" s="65">
        <f aca="true" t="shared" si="10" ref="AU9:AU41">AS9/AT9</f>
        <v>0.9919071736151889</v>
      </c>
      <c r="AV9" s="71">
        <f>IF(AU9&lt;=1,1,0)</f>
        <v>1</v>
      </c>
      <c r="AW9" s="55"/>
      <c r="AX9" s="72">
        <f aca="true" t="shared" si="11" ref="AX9:AX41">AV9+AW9</f>
        <v>1</v>
      </c>
      <c r="AY9" s="73">
        <f aca="true" t="shared" si="12" ref="AY9:AY41">H9+Q9+X9+AL9+AR9+AX9</f>
        <v>6.5</v>
      </c>
      <c r="AZ9" s="74"/>
      <c r="BA9" s="75">
        <v>934451.47</v>
      </c>
      <c r="BC9" s="76">
        <f aca="true" t="shared" si="13" ref="BC9:BC41">(AD9+AE9-T9)/(AC9-T9)</f>
        <v>0.5150936244109602</v>
      </c>
      <c r="BD9" s="7">
        <f>IF(($BC9&lt;=10%),1,0)</f>
        <v>0</v>
      </c>
      <c r="BE9" s="77">
        <f>IF(AND(BC9&gt;10%,BC9&lt;30%),1,0)</f>
        <v>0</v>
      </c>
      <c r="BF9" s="77">
        <f>IF(AND(BC9&gt;30%,BC9&lt;70%),1,0)</f>
        <v>1</v>
      </c>
      <c r="BG9" s="77">
        <f>IF(AND(BC9&gt;70%,BC9&lt;90%),1,0)</f>
        <v>0</v>
      </c>
      <c r="BH9" s="7">
        <f>IF(($BC9&gt;=90%),1,0)</f>
        <v>0</v>
      </c>
      <c r="BJ9" s="76">
        <f aca="true" t="shared" si="14" ref="BJ9:BJ41">(BA9+L9)/(J9-T9)</f>
        <v>0.18349137409557223</v>
      </c>
      <c r="BK9" s="7">
        <f>IF(($BJ9&lt;=4.9%),1,0)</f>
        <v>0</v>
      </c>
      <c r="BL9" s="77">
        <f>IF(AND(BJ9&gt;5%,BJ9&lt;19.9%),1,0)</f>
        <v>1</v>
      </c>
      <c r="BM9" s="77">
        <f>IF(AND(BJ9&gt;20%,BJ9&lt;49.9%),1,0)</f>
        <v>0</v>
      </c>
      <c r="BN9" s="77">
        <f>IF(AND(BJ9&gt;50%,BJ9&lt;89.9%),1,0)</f>
        <v>0</v>
      </c>
      <c r="BO9" s="7">
        <f>IF((BJ9&gt;=90%),1,0)</f>
        <v>0</v>
      </c>
    </row>
    <row r="10" spans="1:67" ht="15">
      <c r="A10" s="78" t="s">
        <v>73</v>
      </c>
      <c r="B10" s="79">
        <v>20810</v>
      </c>
      <c r="C10" s="79">
        <v>4029.5</v>
      </c>
      <c r="D10" s="79">
        <v>21810</v>
      </c>
      <c r="E10" s="80">
        <f aca="true" t="shared" si="15" ref="E10:E41">IF(AND(B10=0,D10=0),0,B10/(IF(C10&gt;0,C10,0)+D10))</f>
        <v>0.805356140792198</v>
      </c>
      <c r="F10" s="81"/>
      <c r="G10" s="82">
        <f>IF(E10&lt;=1.05,1,0)</f>
        <v>1</v>
      </c>
      <c r="H10" s="83">
        <f t="shared" si="0"/>
        <v>1</v>
      </c>
      <c r="I10" s="79">
        <v>26620</v>
      </c>
      <c r="J10" s="84">
        <v>738052.38844</v>
      </c>
      <c r="K10" s="85">
        <v>525225.56151</v>
      </c>
      <c r="L10" s="79">
        <v>149996.66174</v>
      </c>
      <c r="M10" s="79">
        <v>5810</v>
      </c>
      <c r="N10" s="80">
        <f>(I10-M10)/(J10-K10-L10)</f>
        <v>0.33121033403413863</v>
      </c>
      <c r="O10" s="81"/>
      <c r="P10" s="82">
        <f>IF(N10&lt;=0.5,1,0)</f>
        <v>1</v>
      </c>
      <c r="Q10" s="83">
        <f t="shared" si="2"/>
        <v>1</v>
      </c>
      <c r="R10" s="86">
        <v>1595.6</v>
      </c>
      <c r="S10" s="86">
        <v>739021.25623</v>
      </c>
      <c r="T10" s="87">
        <v>353926.47677</v>
      </c>
      <c r="U10" s="80">
        <f t="shared" si="3"/>
        <v>0.004143395561574305</v>
      </c>
      <c r="V10" s="81"/>
      <c r="W10" s="82">
        <f>IF(U10&lt;=0.15,1,0)</f>
        <v>1</v>
      </c>
      <c r="X10" s="83">
        <f aca="true" t="shared" si="16" ref="X10:X41">V10+W10</f>
        <v>1</v>
      </c>
      <c r="Y10" s="79">
        <v>968.86779</v>
      </c>
      <c r="Z10" s="88">
        <v>0</v>
      </c>
      <c r="AA10" s="88">
        <v>1968.86779</v>
      </c>
      <c r="AB10" s="88"/>
      <c r="AC10" s="88">
        <v>738052.38844</v>
      </c>
      <c r="AD10" s="88">
        <v>525225.56151</v>
      </c>
      <c r="AE10" s="88">
        <v>149996.66174</v>
      </c>
      <c r="AF10" s="88">
        <f aca="true" t="shared" si="17" ref="AF10:AF41">AC10-AD10-AE10</f>
        <v>62830.16518999997</v>
      </c>
      <c r="AG10" s="88">
        <f t="shared" si="5"/>
        <v>6283.016518999997</v>
      </c>
      <c r="AH10" s="88">
        <f t="shared" si="6"/>
        <v>8251.884308999997</v>
      </c>
      <c r="AI10" s="89">
        <f t="shared" si="7"/>
        <v>0</v>
      </c>
      <c r="AJ10" s="90"/>
      <c r="AK10" s="91">
        <f>IF(AI10&lt;=0.05,1.5,0)</f>
        <v>1.5</v>
      </c>
      <c r="AL10" s="83">
        <f t="shared" si="8"/>
        <v>1.5</v>
      </c>
      <c r="AM10" s="92">
        <v>25822.7</v>
      </c>
      <c r="AN10" s="82">
        <v>26067</v>
      </c>
      <c r="AO10" s="93">
        <f t="shared" si="9"/>
        <v>0.9906279970844363</v>
      </c>
      <c r="AP10" s="90"/>
      <c r="AQ10" s="91">
        <f>IF(AO10&lt;=1,1,0)</f>
        <v>1</v>
      </c>
      <c r="AR10" s="94">
        <f aca="true" t="shared" si="18" ref="AR10:AR41">AP10+AQ10</f>
        <v>1</v>
      </c>
      <c r="AS10" s="92">
        <v>60750.1</v>
      </c>
      <c r="AT10" s="82">
        <v>64041</v>
      </c>
      <c r="AU10" s="89">
        <f t="shared" si="10"/>
        <v>0.9486126075482894</v>
      </c>
      <c r="AV10" s="90"/>
      <c r="AW10" s="91">
        <f>IF(AU10&lt;=1,1,0)</f>
        <v>1</v>
      </c>
      <c r="AX10" s="94">
        <f t="shared" si="11"/>
        <v>1</v>
      </c>
      <c r="AY10" s="95">
        <f t="shared" si="12"/>
        <v>6.5</v>
      </c>
      <c r="AZ10" s="96"/>
      <c r="BA10" s="75">
        <v>83056.724</v>
      </c>
      <c r="BC10" s="76">
        <f t="shared" si="13"/>
        <v>0.8364334108135435</v>
      </c>
      <c r="BD10" s="7">
        <f aca="true" t="shared" si="19" ref="BD10:BD41">IF(($BC10&lt;=10%),1,0)</f>
        <v>0</v>
      </c>
      <c r="BE10" s="77">
        <f aca="true" t="shared" si="20" ref="BE10:BE41">IF(AND(BC10&gt;10%,BC10&lt;30%),1,0)</f>
        <v>0</v>
      </c>
      <c r="BF10" s="77">
        <f aca="true" t="shared" si="21" ref="BF10:BF41">IF(AND(BC10&gt;30%,BC10&lt;70%),1,0)</f>
        <v>0</v>
      </c>
      <c r="BG10" s="77">
        <f aca="true" t="shared" si="22" ref="BG10:BG41">IF(AND(BC10&gt;70%,BC10&lt;90%),1,0)</f>
        <v>1</v>
      </c>
      <c r="BH10" s="7">
        <f aca="true" t="shared" si="23" ref="BH10:BH41">IF(($BC10&gt;=90%),1,0)</f>
        <v>0</v>
      </c>
      <c r="BJ10" s="76">
        <f t="shared" si="14"/>
        <v>0.6067109212361976</v>
      </c>
      <c r="BK10" s="7">
        <f aca="true" t="shared" si="24" ref="BK10:BK41">IF(($BJ10&lt;=4.9%),1,0)</f>
        <v>0</v>
      </c>
      <c r="BL10" s="77">
        <f aca="true" t="shared" si="25" ref="BL10:BL41">IF(AND(BJ10&gt;5%,BJ10&lt;19.9%),1,0)</f>
        <v>0</v>
      </c>
      <c r="BM10" s="77">
        <f aca="true" t="shared" si="26" ref="BM10:BM41">IF(AND(BJ10&gt;20%,BJ10&lt;49.9%),1,0)</f>
        <v>0</v>
      </c>
      <c r="BN10" s="77">
        <f aca="true" t="shared" si="27" ref="BN10:BN41">IF(AND(BJ10&gt;50%,BJ10&lt;89.9%),1,0)</f>
        <v>1</v>
      </c>
      <c r="BO10" s="7">
        <f aca="true" t="shared" si="28" ref="BO10:BO41">IF((BJ10&gt;=90%),1,0)</f>
        <v>0</v>
      </c>
    </row>
    <row r="11" spans="1:67" ht="15">
      <c r="A11" s="97" t="s">
        <v>74</v>
      </c>
      <c r="B11" s="52">
        <v>82000</v>
      </c>
      <c r="C11" s="52">
        <v>-2870.2</v>
      </c>
      <c r="D11" s="52">
        <v>83000</v>
      </c>
      <c r="E11" s="53">
        <f t="shared" si="15"/>
        <v>0.9879518072289156</v>
      </c>
      <c r="F11" s="98">
        <f aca="true" t="shared" si="29" ref="F11:F16">IF(E11&lt;=1.05,1,0)</f>
        <v>1</v>
      </c>
      <c r="G11" s="55"/>
      <c r="H11" s="56">
        <f t="shared" si="0"/>
        <v>1</v>
      </c>
      <c r="I11" s="57">
        <v>75000</v>
      </c>
      <c r="J11" s="58">
        <v>952204.10252</v>
      </c>
      <c r="K11" s="59">
        <v>554825.5987999999</v>
      </c>
      <c r="L11" s="57">
        <v>145096.3849</v>
      </c>
      <c r="M11" s="57">
        <v>0</v>
      </c>
      <c r="N11" s="53">
        <f aca="true" t="shared" si="30" ref="N11:N40">(I11-M11)/(J11-K11-L11)</f>
        <v>0.2972862299983754</v>
      </c>
      <c r="O11" s="54">
        <f t="shared" si="1"/>
        <v>1</v>
      </c>
      <c r="P11" s="55"/>
      <c r="Q11" s="56">
        <f t="shared" si="2"/>
        <v>1</v>
      </c>
      <c r="R11" s="99">
        <v>9024.8</v>
      </c>
      <c r="S11" s="99">
        <v>915729.39194</v>
      </c>
      <c r="T11" s="62">
        <v>380126.52108</v>
      </c>
      <c r="U11" s="53">
        <f t="shared" si="3"/>
        <v>0.016849797659801883</v>
      </c>
      <c r="V11" s="54">
        <f t="shared" si="4"/>
        <v>1</v>
      </c>
      <c r="W11" s="55"/>
      <c r="X11" s="56">
        <f t="shared" si="16"/>
        <v>1</v>
      </c>
      <c r="Y11" s="52">
        <v>-36474.71058</v>
      </c>
      <c r="Z11" s="63">
        <v>0</v>
      </c>
      <c r="AA11" s="63">
        <v>-29474.71058</v>
      </c>
      <c r="AB11" s="64"/>
      <c r="AC11" s="64">
        <v>952204.10252</v>
      </c>
      <c r="AD11" s="64">
        <v>554825.5987999999</v>
      </c>
      <c r="AE11" s="64">
        <v>145096.3849</v>
      </c>
      <c r="AF11" s="64">
        <f t="shared" si="17"/>
        <v>252282.11882000003</v>
      </c>
      <c r="AG11" s="64">
        <f t="shared" si="5"/>
        <v>25228.211882000003</v>
      </c>
      <c r="AH11" s="64">
        <f t="shared" si="6"/>
        <v>25228.211882000003</v>
      </c>
      <c r="AI11" s="65">
        <f t="shared" si="7"/>
        <v>0</v>
      </c>
      <c r="AJ11" s="66">
        <f aca="true" t="shared" si="31" ref="AJ11:AJ16">IF(AI11&lt;=0.1,1.5,0)</f>
        <v>1.5</v>
      </c>
      <c r="AK11" s="55"/>
      <c r="AL11" s="56">
        <f t="shared" si="8"/>
        <v>1.5</v>
      </c>
      <c r="AM11" s="69">
        <v>29770.8</v>
      </c>
      <c r="AN11" s="67">
        <v>29784</v>
      </c>
      <c r="AO11" s="70">
        <f t="shared" si="9"/>
        <v>0.9995568090249798</v>
      </c>
      <c r="AP11" s="71">
        <f aca="true" t="shared" si="32" ref="AP11:AP16">IF(AO11&lt;=1,1,0)</f>
        <v>1</v>
      </c>
      <c r="AQ11" s="55"/>
      <c r="AR11" s="72">
        <f t="shared" si="18"/>
        <v>1</v>
      </c>
      <c r="AS11" s="69">
        <v>57855.2</v>
      </c>
      <c r="AT11" s="67">
        <v>65390</v>
      </c>
      <c r="AU11" s="65">
        <f t="shared" si="10"/>
        <v>0.8847713717693837</v>
      </c>
      <c r="AV11" s="71">
        <f aca="true" t="shared" si="33" ref="AV11:AV16">IF(AU11&lt;=1,1,0)</f>
        <v>1</v>
      </c>
      <c r="AW11" s="55"/>
      <c r="AX11" s="72">
        <f t="shared" si="11"/>
        <v>1</v>
      </c>
      <c r="AY11" s="100">
        <f t="shared" si="12"/>
        <v>6.5</v>
      </c>
      <c r="AZ11" s="101"/>
      <c r="BA11" s="75">
        <v>42722.347</v>
      </c>
      <c r="BC11" s="76">
        <f t="shared" si="13"/>
        <v>0.5590071574121638</v>
      </c>
      <c r="BD11" s="7">
        <f t="shared" si="19"/>
        <v>0</v>
      </c>
      <c r="BE11" s="77">
        <f t="shared" si="20"/>
        <v>0</v>
      </c>
      <c r="BF11" s="77">
        <f t="shared" si="21"/>
        <v>1</v>
      </c>
      <c r="BG11" s="77">
        <f t="shared" si="22"/>
        <v>0</v>
      </c>
      <c r="BH11" s="7">
        <f t="shared" si="23"/>
        <v>0</v>
      </c>
      <c r="BJ11" s="76">
        <f t="shared" si="14"/>
        <v>0.32830989710737096</v>
      </c>
      <c r="BK11" s="7">
        <f t="shared" si="24"/>
        <v>0</v>
      </c>
      <c r="BL11" s="77">
        <f t="shared" si="25"/>
        <v>0</v>
      </c>
      <c r="BM11" s="77">
        <f t="shared" si="26"/>
        <v>1</v>
      </c>
      <c r="BN11" s="77">
        <f t="shared" si="27"/>
        <v>0</v>
      </c>
      <c r="BO11" s="7">
        <f t="shared" si="28"/>
        <v>0</v>
      </c>
    </row>
    <row r="12" spans="1:67" ht="15">
      <c r="A12" s="97" t="s">
        <v>75</v>
      </c>
      <c r="B12" s="52">
        <v>30000</v>
      </c>
      <c r="C12" s="52">
        <v>29861.4</v>
      </c>
      <c r="D12" s="52">
        <v>35000</v>
      </c>
      <c r="E12" s="53">
        <f t="shared" si="15"/>
        <v>0.4625247065280737</v>
      </c>
      <c r="F12" s="54">
        <f t="shared" si="29"/>
        <v>1</v>
      </c>
      <c r="G12" s="55"/>
      <c r="H12" s="56">
        <f t="shared" si="0"/>
        <v>1</v>
      </c>
      <c r="I12" s="57">
        <v>25000</v>
      </c>
      <c r="J12" s="58">
        <v>557979.45921</v>
      </c>
      <c r="K12" s="59">
        <v>287869.34174</v>
      </c>
      <c r="L12" s="57">
        <v>82501.84539</v>
      </c>
      <c r="M12" s="57">
        <v>0</v>
      </c>
      <c r="N12" s="53">
        <f t="shared" si="30"/>
        <v>0.1332563842885323</v>
      </c>
      <c r="O12" s="54">
        <f t="shared" si="1"/>
        <v>1</v>
      </c>
      <c r="P12" s="55"/>
      <c r="Q12" s="56">
        <f t="shared" si="2"/>
        <v>1</v>
      </c>
      <c r="R12" s="99">
        <v>1748</v>
      </c>
      <c r="S12" s="99">
        <v>570509.6091</v>
      </c>
      <c r="T12" s="62">
        <v>219351.47057</v>
      </c>
      <c r="U12" s="53">
        <f t="shared" si="3"/>
        <v>0.00497781428993042</v>
      </c>
      <c r="V12" s="54">
        <f t="shared" si="4"/>
        <v>1</v>
      </c>
      <c r="W12" s="55"/>
      <c r="X12" s="56">
        <f t="shared" si="16"/>
        <v>1</v>
      </c>
      <c r="Y12" s="52">
        <v>12530.14989</v>
      </c>
      <c r="Z12" s="63">
        <v>0</v>
      </c>
      <c r="AA12" s="63">
        <v>22530.14989</v>
      </c>
      <c r="AB12" s="64"/>
      <c r="AC12" s="64">
        <v>557979.45921</v>
      </c>
      <c r="AD12" s="64">
        <v>287869.34174</v>
      </c>
      <c r="AE12" s="64">
        <v>82501.84539</v>
      </c>
      <c r="AF12" s="64">
        <f t="shared" si="17"/>
        <v>187608.27208</v>
      </c>
      <c r="AG12" s="64">
        <f t="shared" si="5"/>
        <v>18760.827208</v>
      </c>
      <c r="AH12" s="64">
        <f t="shared" si="6"/>
        <v>41290.977098</v>
      </c>
      <c r="AI12" s="65">
        <f t="shared" si="7"/>
        <v>0</v>
      </c>
      <c r="AJ12" s="66">
        <f t="shared" si="31"/>
        <v>1.5</v>
      </c>
      <c r="AK12" s="55"/>
      <c r="AL12" s="56">
        <f t="shared" si="8"/>
        <v>1.5</v>
      </c>
      <c r="AM12" s="69">
        <v>16967</v>
      </c>
      <c r="AN12" s="67">
        <v>17052</v>
      </c>
      <c r="AO12" s="102">
        <f t="shared" si="9"/>
        <v>0.9950152474783016</v>
      </c>
      <c r="AP12" s="71">
        <f t="shared" si="32"/>
        <v>1</v>
      </c>
      <c r="AQ12" s="55"/>
      <c r="AR12" s="72">
        <f t="shared" si="18"/>
        <v>1</v>
      </c>
      <c r="AS12" s="69">
        <v>32624</v>
      </c>
      <c r="AT12" s="67">
        <v>39198</v>
      </c>
      <c r="AU12" s="103">
        <f t="shared" si="10"/>
        <v>0.8322873616000817</v>
      </c>
      <c r="AV12" s="71">
        <f t="shared" si="33"/>
        <v>1</v>
      </c>
      <c r="AW12" s="55"/>
      <c r="AX12" s="72">
        <f t="shared" si="11"/>
        <v>1</v>
      </c>
      <c r="AY12" s="100">
        <f t="shared" si="12"/>
        <v>6.5</v>
      </c>
      <c r="AZ12" s="101"/>
      <c r="BA12" s="75">
        <v>11194.516</v>
      </c>
      <c r="BC12" s="76">
        <f t="shared" si="13"/>
        <v>0.44597529331974706</v>
      </c>
      <c r="BD12" s="7">
        <f t="shared" si="19"/>
        <v>0</v>
      </c>
      <c r="BE12" s="77">
        <f t="shared" si="20"/>
        <v>0</v>
      </c>
      <c r="BF12" s="77">
        <f t="shared" si="21"/>
        <v>1</v>
      </c>
      <c r="BG12" s="77">
        <f t="shared" si="22"/>
        <v>0</v>
      </c>
      <c r="BH12" s="7">
        <f t="shared" si="23"/>
        <v>0</v>
      </c>
      <c r="BJ12" s="76">
        <f t="shared" si="14"/>
        <v>0.2766940847574471</v>
      </c>
      <c r="BK12" s="7">
        <f t="shared" si="24"/>
        <v>0</v>
      </c>
      <c r="BL12" s="77">
        <f t="shared" si="25"/>
        <v>0</v>
      </c>
      <c r="BM12" s="77">
        <f t="shared" si="26"/>
        <v>1</v>
      </c>
      <c r="BN12" s="77">
        <f t="shared" si="27"/>
        <v>0</v>
      </c>
      <c r="BO12" s="7">
        <f t="shared" si="28"/>
        <v>0</v>
      </c>
    </row>
    <row r="13" spans="1:67" s="8" customFormat="1" ht="15">
      <c r="A13" s="104" t="s">
        <v>76</v>
      </c>
      <c r="B13" s="52">
        <v>7000</v>
      </c>
      <c r="C13" s="52">
        <v>14551.3</v>
      </c>
      <c r="D13" s="52">
        <v>3500</v>
      </c>
      <c r="E13" s="60">
        <f t="shared" si="15"/>
        <v>0.3877837053287021</v>
      </c>
      <c r="F13" s="54">
        <f t="shared" si="29"/>
        <v>1</v>
      </c>
      <c r="G13" s="67"/>
      <c r="H13" s="68">
        <f t="shared" si="0"/>
        <v>1</v>
      </c>
      <c r="I13" s="52">
        <v>7000</v>
      </c>
      <c r="J13" s="58">
        <v>287832.53059</v>
      </c>
      <c r="K13" s="59">
        <v>187152.33688</v>
      </c>
      <c r="L13" s="52">
        <v>32842.4176</v>
      </c>
      <c r="M13" s="52">
        <v>0</v>
      </c>
      <c r="N13" s="60">
        <f t="shared" si="30"/>
        <v>0.10318734488951102</v>
      </c>
      <c r="O13" s="54">
        <f t="shared" si="1"/>
        <v>1</v>
      </c>
      <c r="P13" s="67"/>
      <c r="Q13" s="68">
        <f t="shared" si="2"/>
        <v>1</v>
      </c>
      <c r="R13" s="99">
        <v>76.3</v>
      </c>
      <c r="S13" s="99">
        <v>299416.04718</v>
      </c>
      <c r="T13" s="62">
        <v>101621.63141</v>
      </c>
      <c r="U13" s="60">
        <f t="shared" si="3"/>
        <v>0.0003857540654167074</v>
      </c>
      <c r="V13" s="54">
        <f t="shared" si="4"/>
        <v>1</v>
      </c>
      <c r="W13" s="67"/>
      <c r="X13" s="68">
        <f t="shared" si="16"/>
        <v>1</v>
      </c>
      <c r="Y13" s="52">
        <v>11583.51659</v>
      </c>
      <c r="Z13" s="63">
        <v>0</v>
      </c>
      <c r="AA13" s="63">
        <v>8083.51659</v>
      </c>
      <c r="AB13" s="63"/>
      <c r="AC13" s="64">
        <v>287832.53059</v>
      </c>
      <c r="AD13" s="64">
        <v>187152.33688</v>
      </c>
      <c r="AE13" s="64">
        <v>32842.4176</v>
      </c>
      <c r="AF13" s="63">
        <f t="shared" si="17"/>
        <v>67837.77610999999</v>
      </c>
      <c r="AG13" s="64">
        <f>AF13*5%</f>
        <v>3391.8888054999998</v>
      </c>
      <c r="AH13" s="63">
        <f t="shared" si="6"/>
        <v>11475.4053955</v>
      </c>
      <c r="AI13" s="103">
        <f t="shared" si="7"/>
        <v>0.051593672444755496</v>
      </c>
      <c r="AJ13" s="66">
        <f t="shared" si="31"/>
        <v>1.5</v>
      </c>
      <c r="AK13" s="105"/>
      <c r="AL13" s="68">
        <f t="shared" si="8"/>
        <v>1.5</v>
      </c>
      <c r="AM13" s="69">
        <v>9090.8</v>
      </c>
      <c r="AN13" s="67">
        <v>9094</v>
      </c>
      <c r="AO13" s="102">
        <f t="shared" si="9"/>
        <v>0.9996481196393225</v>
      </c>
      <c r="AP13" s="71">
        <f t="shared" si="32"/>
        <v>1</v>
      </c>
      <c r="AQ13" s="105"/>
      <c r="AR13" s="106">
        <f t="shared" si="18"/>
        <v>1</v>
      </c>
      <c r="AS13" s="69">
        <v>22020.4</v>
      </c>
      <c r="AT13" s="67">
        <v>22028</v>
      </c>
      <c r="AU13" s="103">
        <f t="shared" si="10"/>
        <v>0.999654984565099</v>
      </c>
      <c r="AV13" s="71">
        <f t="shared" si="33"/>
        <v>1</v>
      </c>
      <c r="AW13" s="105"/>
      <c r="AX13" s="106">
        <f t="shared" si="11"/>
        <v>1</v>
      </c>
      <c r="AY13" s="100">
        <f t="shared" si="12"/>
        <v>6.5</v>
      </c>
      <c r="AZ13" s="101"/>
      <c r="BA13" s="75">
        <v>28656.571</v>
      </c>
      <c r="BB13" s="7"/>
      <c r="BC13" s="76">
        <f t="shared" si="13"/>
        <v>0.6356938481650052</v>
      </c>
      <c r="BD13" s="7">
        <f t="shared" si="19"/>
        <v>0</v>
      </c>
      <c r="BE13" s="77">
        <f t="shared" si="20"/>
        <v>0</v>
      </c>
      <c r="BF13" s="77">
        <f t="shared" si="21"/>
        <v>1</v>
      </c>
      <c r="BG13" s="77">
        <f t="shared" si="22"/>
        <v>0</v>
      </c>
      <c r="BH13" s="7">
        <f t="shared" si="23"/>
        <v>0</v>
      </c>
      <c r="BJ13" s="76">
        <f t="shared" si="14"/>
        <v>0.33026524693676634</v>
      </c>
      <c r="BK13" s="7">
        <f t="shared" si="24"/>
        <v>0</v>
      </c>
      <c r="BL13" s="77">
        <f t="shared" si="25"/>
        <v>0</v>
      </c>
      <c r="BM13" s="77">
        <f t="shared" si="26"/>
        <v>1</v>
      </c>
      <c r="BN13" s="77">
        <f t="shared" si="27"/>
        <v>0</v>
      </c>
      <c r="BO13" s="7">
        <f t="shared" si="28"/>
        <v>0</v>
      </c>
    </row>
    <row r="14" spans="1:67" s="8" customFormat="1" ht="15">
      <c r="A14" s="78" t="s">
        <v>77</v>
      </c>
      <c r="B14" s="79">
        <v>607.3</v>
      </c>
      <c r="C14" s="79">
        <v>1552.3</v>
      </c>
      <c r="D14" s="79">
        <v>0</v>
      </c>
      <c r="E14" s="80">
        <f t="shared" si="15"/>
        <v>0.3912259228241963</v>
      </c>
      <c r="F14" s="81"/>
      <c r="G14" s="82">
        <f>IF(E14&lt;=1.05,1,0)</f>
        <v>1</v>
      </c>
      <c r="H14" s="83">
        <f t="shared" si="0"/>
        <v>1</v>
      </c>
      <c r="I14" s="79">
        <v>0</v>
      </c>
      <c r="J14" s="84">
        <v>294825.58618</v>
      </c>
      <c r="K14" s="85">
        <v>219570.98741</v>
      </c>
      <c r="L14" s="79">
        <v>50440.641520000005</v>
      </c>
      <c r="M14" s="79">
        <v>0</v>
      </c>
      <c r="N14" s="80">
        <f t="shared" si="30"/>
        <v>0</v>
      </c>
      <c r="O14" s="81"/>
      <c r="P14" s="82">
        <f>IF(N14&lt;=0.5,1,0)</f>
        <v>1</v>
      </c>
      <c r="Q14" s="83">
        <f t="shared" si="2"/>
        <v>1</v>
      </c>
      <c r="R14" s="86">
        <v>0</v>
      </c>
      <c r="S14" s="86">
        <v>294474.27845</v>
      </c>
      <c r="T14" s="87">
        <v>123750.02286</v>
      </c>
      <c r="U14" s="80">
        <f t="shared" si="3"/>
        <v>0</v>
      </c>
      <c r="V14" s="81"/>
      <c r="W14" s="82">
        <f>IF(U14&lt;=0.15,1,0)</f>
        <v>1</v>
      </c>
      <c r="X14" s="83">
        <f t="shared" si="16"/>
        <v>1</v>
      </c>
      <c r="Y14" s="79">
        <v>-351.30773</v>
      </c>
      <c r="Z14" s="88">
        <v>0</v>
      </c>
      <c r="AA14" s="88">
        <v>-351.30773</v>
      </c>
      <c r="AB14" s="88"/>
      <c r="AC14" s="88">
        <v>294825.58618</v>
      </c>
      <c r="AD14" s="88">
        <v>219570.98741</v>
      </c>
      <c r="AE14" s="88">
        <v>50440.641520000005</v>
      </c>
      <c r="AF14" s="88">
        <f t="shared" si="17"/>
        <v>24813.957249999978</v>
      </c>
      <c r="AG14" s="88">
        <f>AF14*5%</f>
        <v>1240.697862499999</v>
      </c>
      <c r="AH14" s="88">
        <f t="shared" si="6"/>
        <v>1240.697862499999</v>
      </c>
      <c r="AI14" s="89">
        <f t="shared" si="7"/>
        <v>0</v>
      </c>
      <c r="AJ14" s="90"/>
      <c r="AK14" s="91">
        <f>IF(AI14&lt;=0.05,1.5,0)</f>
        <v>1.5</v>
      </c>
      <c r="AL14" s="83">
        <f t="shared" si="8"/>
        <v>1.5</v>
      </c>
      <c r="AM14" s="92">
        <v>11590.1</v>
      </c>
      <c r="AN14" s="82">
        <v>11794</v>
      </c>
      <c r="AO14" s="93">
        <f t="shared" si="9"/>
        <v>0.9827115482448703</v>
      </c>
      <c r="AP14" s="90"/>
      <c r="AQ14" s="91">
        <f>IF(AO14&lt;=1,1,0)</f>
        <v>1</v>
      </c>
      <c r="AR14" s="94">
        <f t="shared" si="18"/>
        <v>1</v>
      </c>
      <c r="AS14" s="92">
        <v>29067.899999999998</v>
      </c>
      <c r="AT14" s="82">
        <v>29118</v>
      </c>
      <c r="AU14" s="89">
        <f t="shared" si="10"/>
        <v>0.9982794147949721</v>
      </c>
      <c r="AV14" s="90"/>
      <c r="AW14" s="91">
        <f>IF(AU14&lt;=1,1,0)</f>
        <v>1</v>
      </c>
      <c r="AX14" s="94">
        <f t="shared" si="11"/>
        <v>1</v>
      </c>
      <c r="AY14" s="95">
        <f t="shared" si="12"/>
        <v>6.5</v>
      </c>
      <c r="AZ14" s="101"/>
      <c r="BA14" s="75">
        <v>41296.51</v>
      </c>
      <c r="BB14" s="7"/>
      <c r="BC14" s="76">
        <f t="shared" si="13"/>
        <v>0.8549532337147123</v>
      </c>
      <c r="BD14" s="7">
        <f t="shared" si="19"/>
        <v>0</v>
      </c>
      <c r="BE14" s="77">
        <f t="shared" si="20"/>
        <v>0</v>
      </c>
      <c r="BF14" s="77">
        <f t="shared" si="21"/>
        <v>0</v>
      </c>
      <c r="BG14" s="77">
        <f t="shared" si="22"/>
        <v>1</v>
      </c>
      <c r="BH14" s="7">
        <f t="shared" si="23"/>
        <v>0</v>
      </c>
      <c r="BJ14" s="76">
        <f t="shared" si="14"/>
        <v>0.5362376118464329</v>
      </c>
      <c r="BK14" s="7">
        <f t="shared" si="24"/>
        <v>0</v>
      </c>
      <c r="BL14" s="77">
        <f t="shared" si="25"/>
        <v>0</v>
      </c>
      <c r="BM14" s="77">
        <f t="shared" si="26"/>
        <v>0</v>
      </c>
      <c r="BN14" s="77">
        <f t="shared" si="27"/>
        <v>1</v>
      </c>
      <c r="BO14" s="7">
        <f t="shared" si="28"/>
        <v>0</v>
      </c>
    </row>
    <row r="15" spans="1:67" s="8" customFormat="1" ht="15">
      <c r="A15" s="104" t="s">
        <v>78</v>
      </c>
      <c r="B15" s="52">
        <v>49300</v>
      </c>
      <c r="C15" s="52">
        <v>8366.3</v>
      </c>
      <c r="D15" s="52">
        <v>62814.5</v>
      </c>
      <c r="E15" s="60">
        <f t="shared" si="15"/>
        <v>0.6926024995504405</v>
      </c>
      <c r="F15" s="54">
        <f t="shared" si="29"/>
        <v>1</v>
      </c>
      <c r="G15" s="67"/>
      <c r="H15" s="68">
        <f t="shared" si="0"/>
        <v>1</v>
      </c>
      <c r="I15" s="52">
        <v>62714.5</v>
      </c>
      <c r="J15" s="58">
        <v>1365038.85364</v>
      </c>
      <c r="K15" s="59">
        <v>1053760.97527</v>
      </c>
      <c r="L15" s="52">
        <v>156794.47358000002</v>
      </c>
      <c r="M15" s="52">
        <v>13464.5</v>
      </c>
      <c r="N15" s="60">
        <f t="shared" si="30"/>
        <v>0.31880447007851054</v>
      </c>
      <c r="O15" s="54">
        <f t="shared" si="1"/>
        <v>1</v>
      </c>
      <c r="P15" s="67"/>
      <c r="Q15" s="68">
        <f t="shared" si="2"/>
        <v>1</v>
      </c>
      <c r="R15" s="99">
        <v>5532</v>
      </c>
      <c r="S15" s="99">
        <v>1364748.4563199999</v>
      </c>
      <c r="T15" s="62">
        <v>455382.98675</v>
      </c>
      <c r="U15" s="60">
        <f t="shared" si="3"/>
        <v>0.006083362723917641</v>
      </c>
      <c r="V15" s="54">
        <f t="shared" si="4"/>
        <v>1</v>
      </c>
      <c r="W15" s="67"/>
      <c r="X15" s="68">
        <f t="shared" si="16"/>
        <v>1</v>
      </c>
      <c r="Y15" s="52">
        <v>-290.39732</v>
      </c>
      <c r="Z15" s="63">
        <v>0</v>
      </c>
      <c r="AA15" s="63">
        <v>13224.10268</v>
      </c>
      <c r="AB15" s="63"/>
      <c r="AC15" s="64">
        <v>1365038.85364</v>
      </c>
      <c r="AD15" s="64">
        <v>1053760.97527</v>
      </c>
      <c r="AE15" s="64">
        <v>156794.47358000002</v>
      </c>
      <c r="AF15" s="63">
        <f t="shared" si="17"/>
        <v>154483.40479000003</v>
      </c>
      <c r="AG15" s="64">
        <f t="shared" si="5"/>
        <v>15448.340479000004</v>
      </c>
      <c r="AH15" s="63">
        <f>IF(AA15&gt;0,AA15,0)+AG15+IF(AB15&gt;0,AB15,0)</f>
        <v>28672.443159000002</v>
      </c>
      <c r="AI15" s="103">
        <f t="shared" si="7"/>
        <v>0</v>
      </c>
      <c r="AJ15" s="66">
        <f t="shared" si="31"/>
        <v>1.5</v>
      </c>
      <c r="AK15" s="67"/>
      <c r="AL15" s="68">
        <f t="shared" si="8"/>
        <v>1.5</v>
      </c>
      <c r="AM15" s="69">
        <v>23370.7</v>
      </c>
      <c r="AN15" s="67">
        <v>26067</v>
      </c>
      <c r="AO15" s="102">
        <f t="shared" si="9"/>
        <v>0.8965627038017417</v>
      </c>
      <c r="AP15" s="71">
        <f t="shared" si="32"/>
        <v>1</v>
      </c>
      <c r="AQ15" s="67"/>
      <c r="AR15" s="106">
        <f t="shared" si="18"/>
        <v>1</v>
      </c>
      <c r="AS15" s="69">
        <v>63806.6</v>
      </c>
      <c r="AT15" s="67">
        <v>64041</v>
      </c>
      <c r="AU15" s="103">
        <f t="shared" si="10"/>
        <v>0.9963398447869334</v>
      </c>
      <c r="AV15" s="71">
        <f t="shared" si="33"/>
        <v>1</v>
      </c>
      <c r="AW15" s="67"/>
      <c r="AX15" s="106">
        <f t="shared" si="11"/>
        <v>1</v>
      </c>
      <c r="AY15" s="100">
        <f t="shared" si="12"/>
        <v>6.5</v>
      </c>
      <c r="AZ15" s="101"/>
      <c r="BA15" s="75">
        <v>28012.954</v>
      </c>
      <c r="BB15" s="7"/>
      <c r="BC15" s="76">
        <f t="shared" si="13"/>
        <v>0.8301737938346294</v>
      </c>
      <c r="BD15" s="7">
        <f t="shared" si="19"/>
        <v>0</v>
      </c>
      <c r="BE15" s="77">
        <f t="shared" si="20"/>
        <v>0</v>
      </c>
      <c r="BF15" s="77">
        <f t="shared" si="21"/>
        <v>0</v>
      </c>
      <c r="BG15" s="77">
        <f t="shared" si="22"/>
        <v>1</v>
      </c>
      <c r="BH15" s="7">
        <f t="shared" si="23"/>
        <v>0</v>
      </c>
      <c r="BJ15" s="76">
        <f t="shared" si="14"/>
        <v>0.20316191463903105</v>
      </c>
      <c r="BK15" s="7">
        <f t="shared" si="24"/>
        <v>0</v>
      </c>
      <c r="BL15" s="77">
        <f t="shared" si="25"/>
        <v>0</v>
      </c>
      <c r="BM15" s="77">
        <f t="shared" si="26"/>
        <v>1</v>
      </c>
      <c r="BN15" s="77">
        <f t="shared" si="27"/>
        <v>0</v>
      </c>
      <c r="BO15" s="7">
        <f t="shared" si="28"/>
        <v>0</v>
      </c>
    </row>
    <row r="16" spans="1:67" s="8" customFormat="1" ht="15">
      <c r="A16" s="104" t="s">
        <v>79</v>
      </c>
      <c r="B16" s="52">
        <v>0</v>
      </c>
      <c r="C16" s="52">
        <v>0</v>
      </c>
      <c r="D16" s="52">
        <v>0</v>
      </c>
      <c r="E16" s="60">
        <f t="shared" si="15"/>
        <v>0</v>
      </c>
      <c r="F16" s="54">
        <f t="shared" si="29"/>
        <v>1</v>
      </c>
      <c r="G16" s="67"/>
      <c r="H16" s="68">
        <f t="shared" si="0"/>
        <v>1</v>
      </c>
      <c r="I16" s="52">
        <v>0</v>
      </c>
      <c r="J16" s="58">
        <v>321646.7431</v>
      </c>
      <c r="K16" s="59">
        <v>180070.3279</v>
      </c>
      <c r="L16" s="52">
        <v>35317.781350000005</v>
      </c>
      <c r="M16" s="52">
        <v>0</v>
      </c>
      <c r="N16" s="60">
        <f t="shared" si="30"/>
        <v>0</v>
      </c>
      <c r="O16" s="54">
        <f>IF(N16&lt;=1,1,0)</f>
        <v>1</v>
      </c>
      <c r="P16" s="67"/>
      <c r="Q16" s="68">
        <f>O16+P16</f>
        <v>1</v>
      </c>
      <c r="R16" s="99">
        <v>0</v>
      </c>
      <c r="S16" s="99">
        <v>320310.88596</v>
      </c>
      <c r="T16" s="62">
        <v>136227.29267</v>
      </c>
      <c r="U16" s="60">
        <f t="shared" si="3"/>
        <v>0</v>
      </c>
      <c r="V16" s="54">
        <f>IF(U16&lt;=0.15,1,0)</f>
        <v>1</v>
      </c>
      <c r="W16" s="67"/>
      <c r="X16" s="68">
        <f t="shared" si="16"/>
        <v>1</v>
      </c>
      <c r="Y16" s="52">
        <v>-1335.8571399999998</v>
      </c>
      <c r="Z16" s="63">
        <v>0</v>
      </c>
      <c r="AA16" s="63">
        <v>-1335.8571399999998</v>
      </c>
      <c r="AB16" s="63"/>
      <c r="AC16" s="64">
        <v>321646.7431</v>
      </c>
      <c r="AD16" s="64">
        <v>180070.3279</v>
      </c>
      <c r="AE16" s="64">
        <v>35317.781350000005</v>
      </c>
      <c r="AF16" s="63">
        <f t="shared" si="17"/>
        <v>106258.63385000001</v>
      </c>
      <c r="AG16" s="64">
        <f t="shared" si="5"/>
        <v>10625.863385000002</v>
      </c>
      <c r="AH16" s="63">
        <f aca="true" t="shared" si="34" ref="AH16:AH41">IF(AA16&gt;0,AA16,0)+AG16+IF(AB16&gt;0,AB16,0)</f>
        <v>10625.863385000002</v>
      </c>
      <c r="AI16" s="103">
        <f t="shared" si="7"/>
        <v>0</v>
      </c>
      <c r="AJ16" s="66">
        <f t="shared" si="31"/>
        <v>1.5</v>
      </c>
      <c r="AK16" s="67"/>
      <c r="AL16" s="68">
        <f t="shared" si="8"/>
        <v>1.5</v>
      </c>
      <c r="AM16" s="69">
        <v>10030.4</v>
      </c>
      <c r="AN16" s="67">
        <v>11047</v>
      </c>
      <c r="AO16" s="102">
        <f t="shared" si="9"/>
        <v>0.9079750158414048</v>
      </c>
      <c r="AP16" s="71">
        <f t="shared" si="32"/>
        <v>1</v>
      </c>
      <c r="AQ16" s="67"/>
      <c r="AR16" s="106">
        <f>AP16+AQ16</f>
        <v>1</v>
      </c>
      <c r="AS16" s="69">
        <v>25649.90268</v>
      </c>
      <c r="AT16" s="67">
        <v>26142</v>
      </c>
      <c r="AU16" s="103">
        <f t="shared" si="10"/>
        <v>0.9811759880651825</v>
      </c>
      <c r="AV16" s="71">
        <f t="shared" si="33"/>
        <v>1</v>
      </c>
      <c r="AW16" s="67"/>
      <c r="AX16" s="106">
        <f t="shared" si="11"/>
        <v>1</v>
      </c>
      <c r="AY16" s="100">
        <f t="shared" si="12"/>
        <v>6.5</v>
      </c>
      <c r="AZ16" s="96"/>
      <c r="BA16" s="75">
        <v>16814.179</v>
      </c>
      <c r="BB16" s="7"/>
      <c r="BC16" s="76">
        <f t="shared" si="13"/>
        <v>0.4269283313936096</v>
      </c>
      <c r="BD16" s="7">
        <f t="shared" si="19"/>
        <v>0</v>
      </c>
      <c r="BE16" s="77">
        <f t="shared" si="20"/>
        <v>0</v>
      </c>
      <c r="BF16" s="77">
        <f t="shared" si="21"/>
        <v>1</v>
      </c>
      <c r="BG16" s="77">
        <f t="shared" si="22"/>
        <v>0</v>
      </c>
      <c r="BH16" s="7">
        <f t="shared" si="23"/>
        <v>0</v>
      </c>
      <c r="BJ16" s="76">
        <f t="shared" si="14"/>
        <v>0.28115691330711273</v>
      </c>
      <c r="BK16" s="7">
        <f t="shared" si="24"/>
        <v>0</v>
      </c>
      <c r="BL16" s="77">
        <f t="shared" si="25"/>
        <v>0</v>
      </c>
      <c r="BM16" s="77">
        <f t="shared" si="26"/>
        <v>1</v>
      </c>
      <c r="BN16" s="77">
        <f t="shared" si="27"/>
        <v>0</v>
      </c>
      <c r="BO16" s="7">
        <f t="shared" si="28"/>
        <v>0</v>
      </c>
    </row>
    <row r="17" spans="1:67" s="8" customFormat="1" ht="15">
      <c r="A17" s="78" t="s">
        <v>80</v>
      </c>
      <c r="B17" s="79">
        <v>0</v>
      </c>
      <c r="C17" s="79">
        <v>10410.4</v>
      </c>
      <c r="D17" s="79">
        <v>0</v>
      </c>
      <c r="E17" s="80">
        <f t="shared" si="15"/>
        <v>0</v>
      </c>
      <c r="F17" s="81"/>
      <c r="G17" s="82">
        <f aca="true" t="shared" si="35" ref="G17:G22">IF(E17&lt;=1.05,1,0)</f>
        <v>1</v>
      </c>
      <c r="H17" s="83">
        <f t="shared" si="0"/>
        <v>1</v>
      </c>
      <c r="I17" s="79">
        <v>0</v>
      </c>
      <c r="J17" s="84">
        <v>183179.04668</v>
      </c>
      <c r="K17" s="85">
        <v>152013.78373</v>
      </c>
      <c r="L17" s="79">
        <v>16050.447</v>
      </c>
      <c r="M17" s="79">
        <v>0</v>
      </c>
      <c r="N17" s="80">
        <f t="shared" si="30"/>
        <v>0</v>
      </c>
      <c r="O17" s="81"/>
      <c r="P17" s="82">
        <f aca="true" t="shared" si="36" ref="P17:P22">IF(N17&lt;=0.5,1,0)</f>
        <v>1</v>
      </c>
      <c r="Q17" s="83">
        <f t="shared" si="2"/>
        <v>1</v>
      </c>
      <c r="R17" s="86">
        <v>0</v>
      </c>
      <c r="S17" s="86">
        <v>185093.95676</v>
      </c>
      <c r="T17" s="87">
        <v>83361.37062999999</v>
      </c>
      <c r="U17" s="80">
        <f t="shared" si="3"/>
        <v>0</v>
      </c>
      <c r="V17" s="81"/>
      <c r="W17" s="82">
        <f aca="true" t="shared" si="37" ref="W17:W22">IF(U17&lt;=0.15,1,0)</f>
        <v>1</v>
      </c>
      <c r="X17" s="83">
        <f t="shared" si="16"/>
        <v>1</v>
      </c>
      <c r="Y17" s="79">
        <v>1914.91008</v>
      </c>
      <c r="Z17" s="88">
        <v>0</v>
      </c>
      <c r="AA17" s="88">
        <v>1914.91008</v>
      </c>
      <c r="AB17" s="88"/>
      <c r="AC17" s="88">
        <v>183179.04668</v>
      </c>
      <c r="AD17" s="88">
        <v>152013.78373</v>
      </c>
      <c r="AE17" s="88">
        <v>16050.447</v>
      </c>
      <c r="AF17" s="88">
        <f t="shared" si="17"/>
        <v>15114.815950000004</v>
      </c>
      <c r="AG17" s="88">
        <f>AF17*5%</f>
        <v>755.7407975000002</v>
      </c>
      <c r="AH17" s="88">
        <f t="shared" si="34"/>
        <v>2670.6508775</v>
      </c>
      <c r="AI17" s="89">
        <f t="shared" si="7"/>
        <v>0</v>
      </c>
      <c r="AJ17" s="81"/>
      <c r="AK17" s="91">
        <f>IF(AI17&lt;=0.05,1.5,0)</f>
        <v>1.5</v>
      </c>
      <c r="AL17" s="83">
        <f t="shared" si="8"/>
        <v>1.5</v>
      </c>
      <c r="AM17" s="92">
        <v>7042.5</v>
      </c>
      <c r="AN17" s="82">
        <v>10485</v>
      </c>
      <c r="AO17" s="93">
        <f t="shared" si="9"/>
        <v>0.6716738197424893</v>
      </c>
      <c r="AP17" s="81"/>
      <c r="AQ17" s="91">
        <f aca="true" t="shared" si="38" ref="AQ17:AQ33">IF(AO17&lt;=1,1,0)</f>
        <v>1</v>
      </c>
      <c r="AR17" s="94">
        <f t="shared" si="18"/>
        <v>1</v>
      </c>
      <c r="AS17" s="92">
        <v>23432.2</v>
      </c>
      <c r="AT17" s="82">
        <v>26192</v>
      </c>
      <c r="AU17" s="89">
        <f t="shared" si="10"/>
        <v>0.8946319486866219</v>
      </c>
      <c r="AV17" s="81"/>
      <c r="AW17" s="91">
        <f aca="true" t="shared" si="39" ref="AW17:AW33">IF(AU17&lt;=1,1,0)</f>
        <v>1</v>
      </c>
      <c r="AX17" s="94">
        <f t="shared" si="11"/>
        <v>1</v>
      </c>
      <c r="AY17" s="95">
        <f t="shared" si="12"/>
        <v>6.5</v>
      </c>
      <c r="AZ17" s="96"/>
      <c r="BA17" s="75">
        <v>35456.452</v>
      </c>
      <c r="BB17" s="7"/>
      <c r="BC17" s="76">
        <f t="shared" si="13"/>
        <v>0.8485757578404373</v>
      </c>
      <c r="BD17" s="7">
        <f t="shared" si="19"/>
        <v>0</v>
      </c>
      <c r="BE17" s="77">
        <f t="shared" si="20"/>
        <v>0</v>
      </c>
      <c r="BF17" s="77">
        <f t="shared" si="21"/>
        <v>0</v>
      </c>
      <c r="BG17" s="77">
        <f t="shared" si="22"/>
        <v>1</v>
      </c>
      <c r="BH17" s="7">
        <f t="shared" si="23"/>
        <v>0</v>
      </c>
      <c r="BJ17" s="76">
        <f t="shared" si="14"/>
        <v>0.5160097994487419</v>
      </c>
      <c r="BK17" s="7">
        <f t="shared" si="24"/>
        <v>0</v>
      </c>
      <c r="BL17" s="77">
        <f t="shared" si="25"/>
        <v>0</v>
      </c>
      <c r="BM17" s="77">
        <f t="shared" si="26"/>
        <v>0</v>
      </c>
      <c r="BN17" s="77">
        <f t="shared" si="27"/>
        <v>1</v>
      </c>
      <c r="BO17" s="7">
        <f t="shared" si="28"/>
        <v>0</v>
      </c>
    </row>
    <row r="18" spans="1:67" s="8" customFormat="1" ht="15">
      <c r="A18" s="78" t="s">
        <v>81</v>
      </c>
      <c r="B18" s="79">
        <v>0</v>
      </c>
      <c r="C18" s="79">
        <v>1203.5</v>
      </c>
      <c r="D18" s="79">
        <v>0</v>
      </c>
      <c r="E18" s="80">
        <f t="shared" si="15"/>
        <v>0</v>
      </c>
      <c r="F18" s="81"/>
      <c r="G18" s="82">
        <f t="shared" si="35"/>
        <v>1</v>
      </c>
      <c r="H18" s="83">
        <f t="shared" si="0"/>
        <v>1</v>
      </c>
      <c r="I18" s="79">
        <v>0</v>
      </c>
      <c r="J18" s="84">
        <v>309760.34712</v>
      </c>
      <c r="K18" s="85">
        <v>232137.60219</v>
      </c>
      <c r="L18" s="79">
        <v>41827.6074</v>
      </c>
      <c r="M18" s="79">
        <v>0</v>
      </c>
      <c r="N18" s="80">
        <f t="shared" si="30"/>
        <v>0</v>
      </c>
      <c r="O18" s="81"/>
      <c r="P18" s="82">
        <f t="shared" si="36"/>
        <v>1</v>
      </c>
      <c r="Q18" s="83">
        <f t="shared" si="2"/>
        <v>1</v>
      </c>
      <c r="R18" s="86">
        <v>0</v>
      </c>
      <c r="S18" s="86">
        <v>308128.27619</v>
      </c>
      <c r="T18" s="87">
        <v>117416.17801999999</v>
      </c>
      <c r="U18" s="80">
        <f t="shared" si="3"/>
        <v>0</v>
      </c>
      <c r="V18" s="81"/>
      <c r="W18" s="82">
        <f t="shared" si="37"/>
        <v>1</v>
      </c>
      <c r="X18" s="83">
        <f t="shared" si="16"/>
        <v>1</v>
      </c>
      <c r="Y18" s="79">
        <v>-1632.0709299999999</v>
      </c>
      <c r="Z18" s="88">
        <v>0</v>
      </c>
      <c r="AA18" s="88">
        <v>-1632.0709299999999</v>
      </c>
      <c r="AB18" s="88"/>
      <c r="AC18" s="88">
        <v>309760.34712</v>
      </c>
      <c r="AD18" s="88">
        <v>232137.60219</v>
      </c>
      <c r="AE18" s="88">
        <v>41827.6074</v>
      </c>
      <c r="AF18" s="88">
        <f t="shared" si="17"/>
        <v>35795.137529999985</v>
      </c>
      <c r="AG18" s="88">
        <f>AF18*10%</f>
        <v>3579.513752999999</v>
      </c>
      <c r="AH18" s="88">
        <f t="shared" si="34"/>
        <v>3579.513752999999</v>
      </c>
      <c r="AI18" s="89">
        <f t="shared" si="7"/>
        <v>0</v>
      </c>
      <c r="AJ18" s="90"/>
      <c r="AK18" s="91">
        <f aca="true" t="shared" si="40" ref="AK18:AK33">IF(AI18&lt;=0.05,1.5,0)</f>
        <v>1.5</v>
      </c>
      <c r="AL18" s="83">
        <f t="shared" si="8"/>
        <v>1.5</v>
      </c>
      <c r="AM18" s="92">
        <v>11592</v>
      </c>
      <c r="AN18" s="82">
        <v>11794</v>
      </c>
      <c r="AO18" s="93">
        <f t="shared" si="9"/>
        <v>0.9828726471086994</v>
      </c>
      <c r="AP18" s="90"/>
      <c r="AQ18" s="91">
        <f t="shared" si="38"/>
        <v>1</v>
      </c>
      <c r="AR18" s="94">
        <f t="shared" si="18"/>
        <v>1</v>
      </c>
      <c r="AS18" s="92">
        <v>28502.4</v>
      </c>
      <c r="AT18" s="82">
        <v>29118</v>
      </c>
      <c r="AU18" s="89">
        <f t="shared" si="10"/>
        <v>0.9788584380795384</v>
      </c>
      <c r="AV18" s="90"/>
      <c r="AW18" s="91">
        <f t="shared" si="39"/>
        <v>1</v>
      </c>
      <c r="AX18" s="94">
        <f t="shared" si="11"/>
        <v>1</v>
      </c>
      <c r="AY18" s="95">
        <f t="shared" si="12"/>
        <v>6.5</v>
      </c>
      <c r="AZ18" s="96"/>
      <c r="BA18" s="75">
        <v>26765.724</v>
      </c>
      <c r="BB18" s="7"/>
      <c r="BC18" s="76">
        <f t="shared" si="13"/>
        <v>0.8139005840546689</v>
      </c>
      <c r="BD18" s="7">
        <f t="shared" si="19"/>
        <v>0</v>
      </c>
      <c r="BE18" s="77">
        <f t="shared" si="20"/>
        <v>0</v>
      </c>
      <c r="BF18" s="77">
        <f t="shared" si="21"/>
        <v>0</v>
      </c>
      <c r="BG18" s="77">
        <f t="shared" si="22"/>
        <v>1</v>
      </c>
      <c r="BH18" s="7">
        <f t="shared" si="23"/>
        <v>0</v>
      </c>
      <c r="BJ18" s="76">
        <f t="shared" si="14"/>
        <v>0.3566176802809043</v>
      </c>
      <c r="BK18" s="7">
        <f t="shared" si="24"/>
        <v>0</v>
      </c>
      <c r="BL18" s="77">
        <f t="shared" si="25"/>
        <v>0</v>
      </c>
      <c r="BM18" s="77">
        <f t="shared" si="26"/>
        <v>1</v>
      </c>
      <c r="BN18" s="77">
        <f t="shared" si="27"/>
        <v>0</v>
      </c>
      <c r="BO18" s="7">
        <f t="shared" si="28"/>
        <v>0</v>
      </c>
    </row>
    <row r="19" spans="1:67" s="8" customFormat="1" ht="15">
      <c r="A19" s="78" t="s">
        <v>82</v>
      </c>
      <c r="B19" s="79">
        <v>0</v>
      </c>
      <c r="C19" s="79">
        <v>4127.3</v>
      </c>
      <c r="D19" s="79">
        <v>0</v>
      </c>
      <c r="E19" s="80">
        <f t="shared" si="15"/>
        <v>0</v>
      </c>
      <c r="F19" s="81"/>
      <c r="G19" s="82">
        <f t="shared" si="35"/>
        <v>1</v>
      </c>
      <c r="H19" s="83">
        <f t="shared" si="0"/>
        <v>1</v>
      </c>
      <c r="I19" s="79">
        <v>0</v>
      </c>
      <c r="J19" s="84">
        <v>163959.36331000002</v>
      </c>
      <c r="K19" s="85">
        <v>101866.64383</v>
      </c>
      <c r="L19" s="79">
        <v>26960.28414</v>
      </c>
      <c r="M19" s="79">
        <v>0</v>
      </c>
      <c r="N19" s="80">
        <f t="shared" si="30"/>
        <v>0</v>
      </c>
      <c r="O19" s="81"/>
      <c r="P19" s="82">
        <f t="shared" si="36"/>
        <v>1</v>
      </c>
      <c r="Q19" s="83">
        <f t="shared" si="2"/>
        <v>1</v>
      </c>
      <c r="R19" s="86">
        <v>0</v>
      </c>
      <c r="S19" s="86">
        <v>162056.25358000002</v>
      </c>
      <c r="T19" s="87">
        <v>64000.58289</v>
      </c>
      <c r="U19" s="80">
        <f t="shared" si="3"/>
        <v>0</v>
      </c>
      <c r="V19" s="81"/>
      <c r="W19" s="82">
        <f t="shared" si="37"/>
        <v>1</v>
      </c>
      <c r="X19" s="83">
        <f t="shared" si="16"/>
        <v>1</v>
      </c>
      <c r="Y19" s="79">
        <v>-1903.10973</v>
      </c>
      <c r="Z19" s="88">
        <v>0</v>
      </c>
      <c r="AA19" s="88">
        <v>-1903.10973</v>
      </c>
      <c r="AB19" s="88"/>
      <c r="AC19" s="88">
        <v>163959.36331000002</v>
      </c>
      <c r="AD19" s="88">
        <v>101866.64383</v>
      </c>
      <c r="AE19" s="88">
        <v>26960.28414</v>
      </c>
      <c r="AF19" s="88">
        <f t="shared" si="17"/>
        <v>35132.43534000001</v>
      </c>
      <c r="AG19" s="88">
        <f>AF19*5%</f>
        <v>1756.6217670000005</v>
      </c>
      <c r="AH19" s="88">
        <f t="shared" si="34"/>
        <v>1756.6217670000005</v>
      </c>
      <c r="AI19" s="89">
        <f t="shared" si="7"/>
        <v>0</v>
      </c>
      <c r="AJ19" s="81"/>
      <c r="AK19" s="91">
        <f t="shared" si="40"/>
        <v>1.5</v>
      </c>
      <c r="AL19" s="83">
        <f t="shared" si="8"/>
        <v>1.5</v>
      </c>
      <c r="AM19" s="92">
        <v>7474.2</v>
      </c>
      <c r="AN19" s="82">
        <v>9587</v>
      </c>
      <c r="AO19" s="93">
        <f t="shared" si="9"/>
        <v>0.7796182330238864</v>
      </c>
      <c r="AP19" s="81"/>
      <c r="AQ19" s="91">
        <f t="shared" si="38"/>
        <v>1</v>
      </c>
      <c r="AR19" s="94">
        <f t="shared" si="18"/>
        <v>1</v>
      </c>
      <c r="AS19" s="92">
        <v>22552</v>
      </c>
      <c r="AT19" s="82">
        <v>24201</v>
      </c>
      <c r="AU19" s="89">
        <f t="shared" si="10"/>
        <v>0.9318623197388538</v>
      </c>
      <c r="AV19" s="81"/>
      <c r="AW19" s="91">
        <f t="shared" si="39"/>
        <v>1</v>
      </c>
      <c r="AX19" s="94">
        <f t="shared" si="11"/>
        <v>1</v>
      </c>
      <c r="AY19" s="95">
        <f t="shared" si="12"/>
        <v>6.5</v>
      </c>
      <c r="AZ19" s="96"/>
      <c r="BA19" s="75">
        <v>10961.854</v>
      </c>
      <c r="BB19" s="7"/>
      <c r="BC19" s="76">
        <f t="shared" si="13"/>
        <v>0.6485307724605789</v>
      </c>
      <c r="BD19" s="7">
        <f t="shared" si="19"/>
        <v>0</v>
      </c>
      <c r="BE19" s="77">
        <f t="shared" si="20"/>
        <v>0</v>
      </c>
      <c r="BF19" s="77">
        <f t="shared" si="21"/>
        <v>1</v>
      </c>
      <c r="BG19" s="77">
        <f t="shared" si="22"/>
        <v>0</v>
      </c>
      <c r="BH19" s="7">
        <f t="shared" si="23"/>
        <v>0</v>
      </c>
      <c r="BJ19" s="76">
        <f t="shared" si="14"/>
        <v>0.3793777593190046</v>
      </c>
      <c r="BK19" s="7">
        <f t="shared" si="24"/>
        <v>0</v>
      </c>
      <c r="BL19" s="77">
        <f t="shared" si="25"/>
        <v>0</v>
      </c>
      <c r="BM19" s="77">
        <f t="shared" si="26"/>
        <v>1</v>
      </c>
      <c r="BN19" s="77">
        <f t="shared" si="27"/>
        <v>0</v>
      </c>
      <c r="BO19" s="7">
        <f t="shared" si="28"/>
        <v>0</v>
      </c>
    </row>
    <row r="20" spans="1:67" s="8" customFormat="1" ht="15">
      <c r="A20" s="78" t="s">
        <v>83</v>
      </c>
      <c r="B20" s="79">
        <v>0</v>
      </c>
      <c r="C20" s="79">
        <v>12805.3</v>
      </c>
      <c r="D20" s="79">
        <v>0</v>
      </c>
      <c r="E20" s="80">
        <f t="shared" si="15"/>
        <v>0</v>
      </c>
      <c r="F20" s="81"/>
      <c r="G20" s="82">
        <f t="shared" si="35"/>
        <v>1</v>
      </c>
      <c r="H20" s="83">
        <f t="shared" si="0"/>
        <v>1</v>
      </c>
      <c r="I20" s="79">
        <v>0</v>
      </c>
      <c r="J20" s="84">
        <v>418281.35896</v>
      </c>
      <c r="K20" s="85">
        <v>284496.07032999996</v>
      </c>
      <c r="L20" s="79">
        <v>75490.62551000001</v>
      </c>
      <c r="M20" s="79">
        <v>0</v>
      </c>
      <c r="N20" s="80">
        <f t="shared" si="30"/>
        <v>0</v>
      </c>
      <c r="O20" s="81"/>
      <c r="P20" s="82">
        <f t="shared" si="36"/>
        <v>1</v>
      </c>
      <c r="Q20" s="83">
        <f t="shared" si="2"/>
        <v>1</v>
      </c>
      <c r="R20" s="86">
        <v>0</v>
      </c>
      <c r="S20" s="86">
        <v>425621.77917</v>
      </c>
      <c r="T20" s="87">
        <v>199125.4554</v>
      </c>
      <c r="U20" s="80">
        <f t="shared" si="3"/>
        <v>0</v>
      </c>
      <c r="V20" s="81"/>
      <c r="W20" s="82">
        <f t="shared" si="37"/>
        <v>1</v>
      </c>
      <c r="X20" s="83">
        <f t="shared" si="16"/>
        <v>1</v>
      </c>
      <c r="Y20" s="79">
        <v>7340.42021</v>
      </c>
      <c r="Z20" s="88">
        <v>0</v>
      </c>
      <c r="AA20" s="88">
        <v>7340.42021</v>
      </c>
      <c r="AB20" s="88"/>
      <c r="AC20" s="88">
        <v>418281.35896</v>
      </c>
      <c r="AD20" s="88">
        <v>284496.07032999996</v>
      </c>
      <c r="AE20" s="88">
        <v>75490.62551000001</v>
      </c>
      <c r="AF20" s="88">
        <f t="shared" si="17"/>
        <v>58294.66312000001</v>
      </c>
      <c r="AG20" s="88">
        <f>AF20*10%</f>
        <v>5829.466312000001</v>
      </c>
      <c r="AH20" s="88">
        <f t="shared" si="34"/>
        <v>13169.886522</v>
      </c>
      <c r="AI20" s="89">
        <f t="shared" si="7"/>
        <v>0</v>
      </c>
      <c r="AJ20" s="90"/>
      <c r="AK20" s="91">
        <f t="shared" si="40"/>
        <v>1.5</v>
      </c>
      <c r="AL20" s="83">
        <f t="shared" si="8"/>
        <v>1.5</v>
      </c>
      <c r="AM20" s="92">
        <v>15948.6</v>
      </c>
      <c r="AN20" s="82">
        <v>16894</v>
      </c>
      <c r="AO20" s="93">
        <f t="shared" si="9"/>
        <v>0.9440393038948739</v>
      </c>
      <c r="AP20" s="90"/>
      <c r="AQ20" s="91">
        <f t="shared" si="38"/>
        <v>1</v>
      </c>
      <c r="AR20" s="94">
        <f t="shared" si="18"/>
        <v>1</v>
      </c>
      <c r="AS20" s="92">
        <v>36891.4</v>
      </c>
      <c r="AT20" s="82">
        <v>38668</v>
      </c>
      <c r="AU20" s="89">
        <f t="shared" si="10"/>
        <v>0.9540550325850833</v>
      </c>
      <c r="AV20" s="90"/>
      <c r="AW20" s="91">
        <f t="shared" si="39"/>
        <v>1</v>
      </c>
      <c r="AX20" s="94">
        <f t="shared" si="11"/>
        <v>1</v>
      </c>
      <c r="AY20" s="95">
        <f t="shared" si="12"/>
        <v>6.5</v>
      </c>
      <c r="AZ20" s="96"/>
      <c r="BA20" s="75">
        <v>31817.344</v>
      </c>
      <c r="BB20" s="7"/>
      <c r="BC20" s="76">
        <f t="shared" si="13"/>
        <v>0.7340036833457225</v>
      </c>
      <c r="BD20" s="7">
        <f t="shared" si="19"/>
        <v>0</v>
      </c>
      <c r="BE20" s="77">
        <f t="shared" si="20"/>
        <v>0</v>
      </c>
      <c r="BF20" s="77">
        <f t="shared" si="21"/>
        <v>0</v>
      </c>
      <c r="BG20" s="77">
        <f t="shared" si="22"/>
        <v>1</v>
      </c>
      <c r="BH20" s="7">
        <f t="shared" si="23"/>
        <v>0</v>
      </c>
      <c r="BJ20" s="76">
        <f t="shared" si="14"/>
        <v>0.48964215778299347</v>
      </c>
      <c r="BK20" s="7">
        <f t="shared" si="24"/>
        <v>0</v>
      </c>
      <c r="BL20" s="77">
        <f t="shared" si="25"/>
        <v>0</v>
      </c>
      <c r="BM20" s="77">
        <f t="shared" si="26"/>
        <v>1</v>
      </c>
      <c r="BN20" s="77">
        <f t="shared" si="27"/>
        <v>0</v>
      </c>
      <c r="BO20" s="7">
        <f t="shared" si="28"/>
        <v>0</v>
      </c>
    </row>
    <row r="21" spans="1:67" s="8" customFormat="1" ht="15">
      <c r="A21" s="78" t="s">
        <v>84</v>
      </c>
      <c r="B21" s="79">
        <v>0</v>
      </c>
      <c r="C21" s="79">
        <v>2295.4</v>
      </c>
      <c r="D21" s="79">
        <v>0</v>
      </c>
      <c r="E21" s="80">
        <f t="shared" si="15"/>
        <v>0</v>
      </c>
      <c r="F21" s="81"/>
      <c r="G21" s="82">
        <f t="shared" si="35"/>
        <v>1</v>
      </c>
      <c r="H21" s="83">
        <f t="shared" si="0"/>
        <v>1</v>
      </c>
      <c r="I21" s="79">
        <v>0</v>
      </c>
      <c r="J21" s="84">
        <v>209662.44131</v>
      </c>
      <c r="K21" s="85">
        <v>167555.50600999998</v>
      </c>
      <c r="L21" s="79">
        <v>29248.49933</v>
      </c>
      <c r="M21" s="79">
        <v>0</v>
      </c>
      <c r="N21" s="80">
        <f t="shared" si="30"/>
        <v>0</v>
      </c>
      <c r="O21" s="81"/>
      <c r="P21" s="82">
        <f t="shared" si="36"/>
        <v>1</v>
      </c>
      <c r="Q21" s="83">
        <f t="shared" si="2"/>
        <v>1</v>
      </c>
      <c r="R21" s="86">
        <v>0</v>
      </c>
      <c r="S21" s="86">
        <v>210037.58866</v>
      </c>
      <c r="T21" s="87">
        <v>82602.93411</v>
      </c>
      <c r="U21" s="80">
        <f t="shared" si="3"/>
        <v>0</v>
      </c>
      <c r="V21" s="81"/>
      <c r="W21" s="82">
        <f t="shared" si="37"/>
        <v>1</v>
      </c>
      <c r="X21" s="83">
        <f t="shared" si="16"/>
        <v>1</v>
      </c>
      <c r="Y21" s="79">
        <v>375.14734999999996</v>
      </c>
      <c r="Z21" s="88">
        <v>0</v>
      </c>
      <c r="AA21" s="88">
        <v>375.14734999999996</v>
      </c>
      <c r="AB21" s="88"/>
      <c r="AC21" s="88">
        <v>209662.44131</v>
      </c>
      <c r="AD21" s="88">
        <v>167555.50600999998</v>
      </c>
      <c r="AE21" s="88">
        <v>29248.49933</v>
      </c>
      <c r="AF21" s="88">
        <f t="shared" si="17"/>
        <v>12858.435970000013</v>
      </c>
      <c r="AG21" s="88">
        <f>AF21*5%</f>
        <v>642.9217985000007</v>
      </c>
      <c r="AH21" s="88">
        <f t="shared" si="34"/>
        <v>1018.0691485000007</v>
      </c>
      <c r="AI21" s="89">
        <f t="shared" si="7"/>
        <v>0</v>
      </c>
      <c r="AJ21" s="81"/>
      <c r="AK21" s="91">
        <f t="shared" si="40"/>
        <v>1.5</v>
      </c>
      <c r="AL21" s="83">
        <f t="shared" si="8"/>
        <v>1.5</v>
      </c>
      <c r="AM21" s="92">
        <v>9422.5</v>
      </c>
      <c r="AN21" s="82">
        <v>10485</v>
      </c>
      <c r="AO21" s="93">
        <f t="shared" si="9"/>
        <v>0.8986647591797806</v>
      </c>
      <c r="AP21" s="81"/>
      <c r="AQ21" s="91">
        <f t="shared" si="38"/>
        <v>1</v>
      </c>
      <c r="AR21" s="94">
        <f t="shared" si="18"/>
        <v>1</v>
      </c>
      <c r="AS21" s="92">
        <v>24381.8</v>
      </c>
      <c r="AT21" s="82">
        <v>26192</v>
      </c>
      <c r="AU21" s="89">
        <f t="shared" si="10"/>
        <v>0.9308872938301771</v>
      </c>
      <c r="AV21" s="81"/>
      <c r="AW21" s="91">
        <f t="shared" si="39"/>
        <v>1</v>
      </c>
      <c r="AX21" s="94">
        <f t="shared" si="11"/>
        <v>1</v>
      </c>
      <c r="AY21" s="95">
        <f t="shared" si="12"/>
        <v>6.5</v>
      </c>
      <c r="AZ21" s="96"/>
      <c r="BA21" s="75">
        <v>40337.11</v>
      </c>
      <c r="BB21" s="7"/>
      <c r="BC21" s="76">
        <f t="shared" si="13"/>
        <v>0.8987998910639564</v>
      </c>
      <c r="BD21" s="7">
        <f t="shared" si="19"/>
        <v>0</v>
      </c>
      <c r="BE21" s="77">
        <f t="shared" si="20"/>
        <v>0</v>
      </c>
      <c r="BF21" s="77">
        <f t="shared" si="21"/>
        <v>0</v>
      </c>
      <c r="BG21" s="77">
        <f t="shared" si="22"/>
        <v>1</v>
      </c>
      <c r="BH21" s="7">
        <f t="shared" si="23"/>
        <v>0</v>
      </c>
      <c r="BJ21" s="76">
        <f t="shared" si="14"/>
        <v>0.5476615710500726</v>
      </c>
      <c r="BK21" s="7">
        <f t="shared" si="24"/>
        <v>0</v>
      </c>
      <c r="BL21" s="77">
        <f t="shared" si="25"/>
        <v>0</v>
      </c>
      <c r="BM21" s="77">
        <f t="shared" si="26"/>
        <v>0</v>
      </c>
      <c r="BN21" s="77">
        <f t="shared" si="27"/>
        <v>1</v>
      </c>
      <c r="BO21" s="7">
        <f t="shared" si="28"/>
        <v>0</v>
      </c>
    </row>
    <row r="22" spans="1:67" s="8" customFormat="1" ht="15">
      <c r="A22" s="78" t="s">
        <v>85</v>
      </c>
      <c r="B22" s="79">
        <v>0</v>
      </c>
      <c r="C22" s="79">
        <v>5576.6</v>
      </c>
      <c r="D22" s="79">
        <v>0</v>
      </c>
      <c r="E22" s="80">
        <f t="shared" si="15"/>
        <v>0</v>
      </c>
      <c r="F22" s="81"/>
      <c r="G22" s="82">
        <f t="shared" si="35"/>
        <v>1</v>
      </c>
      <c r="H22" s="83">
        <f t="shared" si="0"/>
        <v>1</v>
      </c>
      <c r="I22" s="79">
        <v>0</v>
      </c>
      <c r="J22" s="84">
        <v>437979.95326</v>
      </c>
      <c r="K22" s="85">
        <v>287930.65251</v>
      </c>
      <c r="L22" s="79">
        <v>92038.35320999999</v>
      </c>
      <c r="M22" s="79">
        <v>0</v>
      </c>
      <c r="N22" s="80">
        <f t="shared" si="30"/>
        <v>0</v>
      </c>
      <c r="O22" s="81"/>
      <c r="P22" s="82">
        <f t="shared" si="36"/>
        <v>1</v>
      </c>
      <c r="Q22" s="83">
        <f t="shared" si="2"/>
        <v>1</v>
      </c>
      <c r="R22" s="86">
        <v>0</v>
      </c>
      <c r="S22" s="86">
        <v>438886.97294999997</v>
      </c>
      <c r="T22" s="87">
        <v>193357.67646000002</v>
      </c>
      <c r="U22" s="80">
        <f t="shared" si="3"/>
        <v>0</v>
      </c>
      <c r="V22" s="81"/>
      <c r="W22" s="82">
        <f t="shared" si="37"/>
        <v>1</v>
      </c>
      <c r="X22" s="83">
        <f t="shared" si="16"/>
        <v>1</v>
      </c>
      <c r="Y22" s="79">
        <v>907.01969</v>
      </c>
      <c r="Z22" s="88">
        <v>0</v>
      </c>
      <c r="AA22" s="88">
        <v>907.01969</v>
      </c>
      <c r="AB22" s="88"/>
      <c r="AC22" s="88">
        <v>437979.95326</v>
      </c>
      <c r="AD22" s="88">
        <v>287930.65251</v>
      </c>
      <c r="AE22" s="88">
        <v>92038.35320999999</v>
      </c>
      <c r="AF22" s="88">
        <f t="shared" si="17"/>
        <v>58010.94754000001</v>
      </c>
      <c r="AG22" s="88">
        <f>AF22*10%</f>
        <v>5801.094754000002</v>
      </c>
      <c r="AH22" s="88">
        <f t="shared" si="34"/>
        <v>6708.114444000002</v>
      </c>
      <c r="AI22" s="89">
        <f t="shared" si="7"/>
        <v>0</v>
      </c>
      <c r="AJ22" s="90"/>
      <c r="AK22" s="91">
        <f t="shared" si="40"/>
        <v>1.5</v>
      </c>
      <c r="AL22" s="83">
        <f t="shared" si="8"/>
        <v>1.5</v>
      </c>
      <c r="AM22" s="92">
        <v>16144.6</v>
      </c>
      <c r="AN22" s="82">
        <v>16894</v>
      </c>
      <c r="AO22" s="93">
        <f t="shared" si="9"/>
        <v>0.9556410559962117</v>
      </c>
      <c r="AP22" s="90"/>
      <c r="AQ22" s="91">
        <f t="shared" si="38"/>
        <v>1</v>
      </c>
      <c r="AR22" s="94">
        <f t="shared" si="18"/>
        <v>1</v>
      </c>
      <c r="AS22" s="92">
        <v>38015.6</v>
      </c>
      <c r="AT22" s="82">
        <v>38668</v>
      </c>
      <c r="AU22" s="89">
        <f t="shared" si="10"/>
        <v>0.9831281679942071</v>
      </c>
      <c r="AV22" s="90"/>
      <c r="AW22" s="91">
        <f t="shared" si="39"/>
        <v>1</v>
      </c>
      <c r="AX22" s="94">
        <f t="shared" si="11"/>
        <v>1</v>
      </c>
      <c r="AY22" s="95">
        <f t="shared" si="12"/>
        <v>6.5</v>
      </c>
      <c r="AZ22" s="96"/>
      <c r="BA22" s="75">
        <v>16988.464</v>
      </c>
      <c r="BB22" s="7"/>
      <c r="BC22" s="76">
        <f t="shared" si="13"/>
        <v>0.762855009368468</v>
      </c>
      <c r="BD22" s="7">
        <f t="shared" si="19"/>
        <v>0</v>
      </c>
      <c r="BE22" s="77">
        <f t="shared" si="20"/>
        <v>0</v>
      </c>
      <c r="BF22" s="77">
        <f t="shared" si="21"/>
        <v>0</v>
      </c>
      <c r="BG22" s="77">
        <f t="shared" si="22"/>
        <v>1</v>
      </c>
      <c r="BH22" s="7">
        <f t="shared" si="23"/>
        <v>0</v>
      </c>
      <c r="BJ22" s="76">
        <f t="shared" si="14"/>
        <v>0.44569455667007346</v>
      </c>
      <c r="BK22" s="7">
        <f t="shared" si="24"/>
        <v>0</v>
      </c>
      <c r="BL22" s="77">
        <f t="shared" si="25"/>
        <v>0</v>
      </c>
      <c r="BM22" s="77">
        <f t="shared" si="26"/>
        <v>1</v>
      </c>
      <c r="BN22" s="77">
        <f t="shared" si="27"/>
        <v>0</v>
      </c>
      <c r="BO22" s="7">
        <f t="shared" si="28"/>
        <v>0</v>
      </c>
    </row>
    <row r="23" spans="1:67" s="8" customFormat="1" ht="15">
      <c r="A23" s="78" t="s">
        <v>86</v>
      </c>
      <c r="B23" s="79">
        <v>0</v>
      </c>
      <c r="C23" s="79">
        <v>-11894.9</v>
      </c>
      <c r="D23" s="79">
        <v>0</v>
      </c>
      <c r="E23" s="80">
        <f t="shared" si="15"/>
        <v>0</v>
      </c>
      <c r="F23" s="81"/>
      <c r="G23" s="82">
        <f>IF(E23&lt;=1.05,1,0)</f>
        <v>1</v>
      </c>
      <c r="H23" s="83">
        <f t="shared" si="0"/>
        <v>1</v>
      </c>
      <c r="I23" s="79">
        <v>0</v>
      </c>
      <c r="J23" s="84">
        <v>253314.44221</v>
      </c>
      <c r="K23" s="85">
        <v>185903.271</v>
      </c>
      <c r="L23" s="79">
        <v>34242.63071</v>
      </c>
      <c r="M23" s="79">
        <v>0</v>
      </c>
      <c r="N23" s="80">
        <f t="shared" si="30"/>
        <v>0</v>
      </c>
      <c r="O23" s="81"/>
      <c r="P23" s="82">
        <f>IF(N23&lt;=0.5,1,0)</f>
        <v>1</v>
      </c>
      <c r="Q23" s="83">
        <f t="shared" si="2"/>
        <v>1</v>
      </c>
      <c r="R23" s="86">
        <v>0</v>
      </c>
      <c r="S23" s="86">
        <v>237896.55169</v>
      </c>
      <c r="T23" s="87">
        <v>106601.87329</v>
      </c>
      <c r="U23" s="80">
        <f t="shared" si="3"/>
        <v>0</v>
      </c>
      <c r="V23" s="81"/>
      <c r="W23" s="82">
        <f>IF(U23&lt;=0.15,1,0)</f>
        <v>1</v>
      </c>
      <c r="X23" s="83">
        <f t="shared" si="16"/>
        <v>1</v>
      </c>
      <c r="Y23" s="79">
        <v>-15417.890519999999</v>
      </c>
      <c r="Z23" s="88">
        <v>0</v>
      </c>
      <c r="AA23" s="88">
        <v>-15417.890519999999</v>
      </c>
      <c r="AB23" s="88"/>
      <c r="AC23" s="88">
        <v>253314.44221</v>
      </c>
      <c r="AD23" s="88">
        <v>185903.271</v>
      </c>
      <c r="AE23" s="88">
        <v>34242.63071</v>
      </c>
      <c r="AF23" s="88">
        <f t="shared" si="17"/>
        <v>33168.5405</v>
      </c>
      <c r="AG23" s="88">
        <f aca="true" t="shared" si="41" ref="AG23:AG31">AF23*5%</f>
        <v>1658.4270250000002</v>
      </c>
      <c r="AH23" s="88">
        <f t="shared" si="34"/>
        <v>1658.4270250000002</v>
      </c>
      <c r="AI23" s="89">
        <f t="shared" si="7"/>
        <v>0</v>
      </c>
      <c r="AJ23" s="90"/>
      <c r="AK23" s="91">
        <f t="shared" si="40"/>
        <v>1.5</v>
      </c>
      <c r="AL23" s="83">
        <f t="shared" si="8"/>
        <v>1.5</v>
      </c>
      <c r="AM23" s="92">
        <v>9408</v>
      </c>
      <c r="AN23" s="82">
        <v>11794</v>
      </c>
      <c r="AO23" s="93">
        <f t="shared" si="9"/>
        <v>0.7976937425809734</v>
      </c>
      <c r="AP23" s="90"/>
      <c r="AQ23" s="91">
        <f t="shared" si="38"/>
        <v>1</v>
      </c>
      <c r="AR23" s="94">
        <f>AP23+AQ23</f>
        <v>1</v>
      </c>
      <c r="AS23" s="92">
        <v>24484.7</v>
      </c>
      <c r="AT23" s="82">
        <v>29118</v>
      </c>
      <c r="AU23" s="89">
        <f t="shared" si="10"/>
        <v>0.8408784944020881</v>
      </c>
      <c r="AV23" s="90"/>
      <c r="AW23" s="91">
        <f t="shared" si="39"/>
        <v>1</v>
      </c>
      <c r="AX23" s="94">
        <f t="shared" si="11"/>
        <v>1</v>
      </c>
      <c r="AY23" s="95">
        <f t="shared" si="12"/>
        <v>6.5</v>
      </c>
      <c r="AZ23" s="101"/>
      <c r="BA23" s="75">
        <v>40388.538</v>
      </c>
      <c r="BB23" s="7"/>
      <c r="BC23" s="76">
        <f t="shared" si="13"/>
        <v>0.7739216159585737</v>
      </c>
      <c r="BD23" s="7">
        <f t="shared" si="19"/>
        <v>0</v>
      </c>
      <c r="BE23" s="77">
        <f t="shared" si="20"/>
        <v>0</v>
      </c>
      <c r="BF23" s="77">
        <f t="shared" si="21"/>
        <v>0</v>
      </c>
      <c r="BG23" s="77">
        <f t="shared" si="22"/>
        <v>1</v>
      </c>
      <c r="BH23" s="7">
        <f t="shared" si="23"/>
        <v>0</v>
      </c>
      <c r="BJ23" s="76">
        <f t="shared" si="14"/>
        <v>0.5086896730074653</v>
      </c>
      <c r="BK23" s="7">
        <f t="shared" si="24"/>
        <v>0</v>
      </c>
      <c r="BL23" s="77">
        <f t="shared" si="25"/>
        <v>0</v>
      </c>
      <c r="BM23" s="77">
        <f t="shared" si="26"/>
        <v>0</v>
      </c>
      <c r="BN23" s="77">
        <f t="shared" si="27"/>
        <v>1</v>
      </c>
      <c r="BO23" s="7">
        <f t="shared" si="28"/>
        <v>0</v>
      </c>
    </row>
    <row r="24" spans="1:67" s="8" customFormat="1" ht="15">
      <c r="A24" s="78" t="s">
        <v>87</v>
      </c>
      <c r="B24" s="79">
        <v>2149</v>
      </c>
      <c r="C24" s="79">
        <v>7963.5</v>
      </c>
      <c r="D24" s="79">
        <v>0</v>
      </c>
      <c r="E24" s="80">
        <f t="shared" si="15"/>
        <v>0.2698562189991838</v>
      </c>
      <c r="F24" s="81"/>
      <c r="G24" s="82">
        <f aca="true" t="shared" si="42" ref="G24:G38">IF(E24&lt;=1.05,1,0)</f>
        <v>1</v>
      </c>
      <c r="H24" s="83">
        <f t="shared" si="0"/>
        <v>1</v>
      </c>
      <c r="I24" s="79">
        <v>2149</v>
      </c>
      <c r="J24" s="84">
        <v>503555.83444999997</v>
      </c>
      <c r="K24" s="85">
        <v>357856.86406</v>
      </c>
      <c r="L24" s="79">
        <v>92205.54319</v>
      </c>
      <c r="M24" s="79">
        <v>0</v>
      </c>
      <c r="N24" s="80">
        <f t="shared" si="30"/>
        <v>0.040173159815791365</v>
      </c>
      <c r="O24" s="81"/>
      <c r="P24" s="82">
        <f>IF(N24&lt;=0.5,1,0)</f>
        <v>1</v>
      </c>
      <c r="Q24" s="83">
        <f>O24+P24</f>
        <v>1</v>
      </c>
      <c r="R24" s="86">
        <v>86.4</v>
      </c>
      <c r="S24" s="86">
        <v>501464.07485000003</v>
      </c>
      <c r="T24" s="87">
        <v>207132.33140999998</v>
      </c>
      <c r="U24" s="80">
        <f t="shared" si="3"/>
        <v>0.00029354631950397417</v>
      </c>
      <c r="V24" s="81"/>
      <c r="W24" s="82">
        <f aca="true" t="shared" si="43" ref="W24:W38">IF(U24&lt;=0.15,1,0)</f>
        <v>1</v>
      </c>
      <c r="X24" s="83">
        <f t="shared" si="16"/>
        <v>1</v>
      </c>
      <c r="Y24" s="79">
        <v>-2091.7596000000003</v>
      </c>
      <c r="Z24" s="88">
        <v>0</v>
      </c>
      <c r="AA24" s="88">
        <v>-4240.759599999999</v>
      </c>
      <c r="AB24" s="88"/>
      <c r="AC24" s="88">
        <v>503555.83444999997</v>
      </c>
      <c r="AD24" s="88">
        <v>357856.86406</v>
      </c>
      <c r="AE24" s="88">
        <v>92205.54319</v>
      </c>
      <c r="AF24" s="88">
        <f t="shared" si="17"/>
        <v>53493.42719999998</v>
      </c>
      <c r="AG24" s="88">
        <f>AF24*10%</f>
        <v>5349.342719999998</v>
      </c>
      <c r="AH24" s="88">
        <f t="shared" si="34"/>
        <v>5349.342719999998</v>
      </c>
      <c r="AI24" s="89">
        <f t="shared" si="7"/>
        <v>0</v>
      </c>
      <c r="AJ24" s="90"/>
      <c r="AK24" s="91">
        <f t="shared" si="40"/>
        <v>1.5</v>
      </c>
      <c r="AL24" s="83">
        <f t="shared" si="8"/>
        <v>1.5</v>
      </c>
      <c r="AM24" s="92">
        <v>13371</v>
      </c>
      <c r="AN24" s="82">
        <v>13953</v>
      </c>
      <c r="AO24" s="93">
        <f t="shared" si="9"/>
        <v>0.9582885400989034</v>
      </c>
      <c r="AP24" s="90"/>
      <c r="AQ24" s="91">
        <f t="shared" si="38"/>
        <v>1</v>
      </c>
      <c r="AR24" s="94">
        <f t="shared" si="18"/>
        <v>1</v>
      </c>
      <c r="AS24" s="92">
        <v>30947.1</v>
      </c>
      <c r="AT24" s="82">
        <v>33128</v>
      </c>
      <c r="AU24" s="89">
        <f t="shared" si="10"/>
        <v>0.9341674716252113</v>
      </c>
      <c r="AV24" s="90"/>
      <c r="AW24" s="91">
        <f t="shared" si="39"/>
        <v>1</v>
      </c>
      <c r="AX24" s="94">
        <f t="shared" si="11"/>
        <v>1</v>
      </c>
      <c r="AY24" s="95">
        <f t="shared" si="12"/>
        <v>6.5</v>
      </c>
      <c r="AZ24" s="96"/>
      <c r="BA24" s="75">
        <v>46282.38238</v>
      </c>
      <c r="BB24" s="7"/>
      <c r="BC24" s="76">
        <f t="shared" si="13"/>
        <v>0.8195371600045444</v>
      </c>
      <c r="BD24" s="7">
        <f t="shared" si="19"/>
        <v>0</v>
      </c>
      <c r="BE24" s="77">
        <f t="shared" si="20"/>
        <v>0</v>
      </c>
      <c r="BF24" s="77">
        <f t="shared" si="21"/>
        <v>0</v>
      </c>
      <c r="BG24" s="77">
        <f t="shared" si="22"/>
        <v>1</v>
      </c>
      <c r="BH24" s="7">
        <f t="shared" si="23"/>
        <v>0</v>
      </c>
      <c r="BJ24" s="76">
        <f t="shared" si="14"/>
        <v>0.4671961708492196</v>
      </c>
      <c r="BK24" s="7">
        <f t="shared" si="24"/>
        <v>0</v>
      </c>
      <c r="BL24" s="77">
        <f t="shared" si="25"/>
        <v>0</v>
      </c>
      <c r="BM24" s="77">
        <f t="shared" si="26"/>
        <v>1</v>
      </c>
      <c r="BN24" s="77">
        <f t="shared" si="27"/>
        <v>0</v>
      </c>
      <c r="BO24" s="7">
        <f t="shared" si="28"/>
        <v>0</v>
      </c>
    </row>
    <row r="25" spans="1:67" s="8" customFormat="1" ht="15">
      <c r="A25" s="78" t="s">
        <v>88</v>
      </c>
      <c r="B25" s="79">
        <v>0</v>
      </c>
      <c r="C25" s="79">
        <v>5545.4</v>
      </c>
      <c r="D25" s="79">
        <v>0</v>
      </c>
      <c r="E25" s="80">
        <f t="shared" si="15"/>
        <v>0</v>
      </c>
      <c r="F25" s="81"/>
      <c r="G25" s="82">
        <f t="shared" si="42"/>
        <v>1</v>
      </c>
      <c r="H25" s="83">
        <f t="shared" si="0"/>
        <v>1</v>
      </c>
      <c r="I25" s="79">
        <v>0</v>
      </c>
      <c r="J25" s="84">
        <v>291679.87012</v>
      </c>
      <c r="K25" s="85">
        <v>216567.85979</v>
      </c>
      <c r="L25" s="79">
        <v>37392.747</v>
      </c>
      <c r="M25" s="79">
        <v>0</v>
      </c>
      <c r="N25" s="80">
        <f t="shared" si="30"/>
        <v>0</v>
      </c>
      <c r="O25" s="81"/>
      <c r="P25" s="82">
        <f aca="true" t="shared" si="44" ref="P25:P38">IF(N25&lt;=0.5,1,0)</f>
        <v>1</v>
      </c>
      <c r="Q25" s="83">
        <f t="shared" si="2"/>
        <v>1</v>
      </c>
      <c r="R25" s="86">
        <v>0</v>
      </c>
      <c r="S25" s="86">
        <v>290344.41730000003</v>
      </c>
      <c r="T25" s="87">
        <v>135007.01396</v>
      </c>
      <c r="U25" s="80">
        <f t="shared" si="3"/>
        <v>0</v>
      </c>
      <c r="V25" s="81"/>
      <c r="W25" s="82">
        <f t="shared" si="43"/>
        <v>1</v>
      </c>
      <c r="X25" s="83">
        <f t="shared" si="16"/>
        <v>1</v>
      </c>
      <c r="Y25" s="79">
        <v>-1335.45282</v>
      </c>
      <c r="Z25" s="88">
        <v>0</v>
      </c>
      <c r="AA25" s="88">
        <v>-1335.45282</v>
      </c>
      <c r="AB25" s="88"/>
      <c r="AC25" s="88">
        <v>291679.87012</v>
      </c>
      <c r="AD25" s="88">
        <v>216567.85979</v>
      </c>
      <c r="AE25" s="88">
        <v>37392.747</v>
      </c>
      <c r="AF25" s="88">
        <f t="shared" si="17"/>
        <v>37719.26332999999</v>
      </c>
      <c r="AG25" s="88">
        <f t="shared" si="41"/>
        <v>1885.9631664999995</v>
      </c>
      <c r="AH25" s="88">
        <f t="shared" si="34"/>
        <v>1885.9631664999995</v>
      </c>
      <c r="AI25" s="89">
        <f t="shared" si="7"/>
        <v>0</v>
      </c>
      <c r="AJ25" s="81"/>
      <c r="AK25" s="91">
        <f t="shared" si="40"/>
        <v>1.5</v>
      </c>
      <c r="AL25" s="83">
        <f t="shared" si="8"/>
        <v>1.5</v>
      </c>
      <c r="AM25" s="92">
        <v>10181.2</v>
      </c>
      <c r="AN25" s="82">
        <v>11047</v>
      </c>
      <c r="AO25" s="93">
        <f t="shared" si="9"/>
        <v>0.9216257807549562</v>
      </c>
      <c r="AP25" s="81"/>
      <c r="AQ25" s="91">
        <f t="shared" si="38"/>
        <v>1</v>
      </c>
      <c r="AR25" s="94">
        <f t="shared" si="18"/>
        <v>1</v>
      </c>
      <c r="AS25" s="92">
        <v>25489.6</v>
      </c>
      <c r="AT25" s="82">
        <v>26142</v>
      </c>
      <c r="AU25" s="89">
        <f t="shared" si="10"/>
        <v>0.9750439905133501</v>
      </c>
      <c r="AV25" s="81"/>
      <c r="AW25" s="91">
        <f t="shared" si="39"/>
        <v>1</v>
      </c>
      <c r="AX25" s="94">
        <f t="shared" si="11"/>
        <v>1</v>
      </c>
      <c r="AY25" s="95">
        <f t="shared" si="12"/>
        <v>6.5</v>
      </c>
      <c r="AZ25" s="96"/>
      <c r="BA25" s="75">
        <v>30349.422</v>
      </c>
      <c r="BB25" s="7"/>
      <c r="BC25" s="76">
        <f t="shared" si="13"/>
        <v>0.759248256178596</v>
      </c>
      <c r="BD25" s="7">
        <f t="shared" si="19"/>
        <v>0</v>
      </c>
      <c r="BE25" s="77">
        <f t="shared" si="20"/>
        <v>0</v>
      </c>
      <c r="BF25" s="77">
        <f t="shared" si="21"/>
        <v>0</v>
      </c>
      <c r="BG25" s="77">
        <f t="shared" si="22"/>
        <v>1</v>
      </c>
      <c r="BH25" s="7">
        <f t="shared" si="23"/>
        <v>0</v>
      </c>
      <c r="BJ25" s="76">
        <f t="shared" si="14"/>
        <v>0.43237974120302786</v>
      </c>
      <c r="BK25" s="7">
        <f t="shared" si="24"/>
        <v>0</v>
      </c>
      <c r="BL25" s="77">
        <f t="shared" si="25"/>
        <v>0</v>
      </c>
      <c r="BM25" s="77">
        <f t="shared" si="26"/>
        <v>1</v>
      </c>
      <c r="BN25" s="77">
        <f t="shared" si="27"/>
        <v>0</v>
      </c>
      <c r="BO25" s="7">
        <f t="shared" si="28"/>
        <v>0</v>
      </c>
    </row>
    <row r="26" spans="1:67" s="8" customFormat="1" ht="15">
      <c r="A26" s="78" t="s">
        <v>89</v>
      </c>
      <c r="B26" s="79">
        <v>0</v>
      </c>
      <c r="C26" s="79">
        <v>4358.9</v>
      </c>
      <c r="D26" s="79">
        <v>0</v>
      </c>
      <c r="E26" s="80">
        <f t="shared" si="15"/>
        <v>0</v>
      </c>
      <c r="F26" s="81"/>
      <c r="G26" s="82">
        <f t="shared" si="42"/>
        <v>1</v>
      </c>
      <c r="H26" s="83">
        <f t="shared" si="0"/>
        <v>1</v>
      </c>
      <c r="I26" s="79">
        <v>0</v>
      </c>
      <c r="J26" s="84">
        <v>281547.03888</v>
      </c>
      <c r="K26" s="85">
        <v>201168.608</v>
      </c>
      <c r="L26" s="79">
        <v>48406.358</v>
      </c>
      <c r="M26" s="79">
        <v>0</v>
      </c>
      <c r="N26" s="80">
        <f t="shared" si="30"/>
        <v>0</v>
      </c>
      <c r="O26" s="81"/>
      <c r="P26" s="82">
        <f t="shared" si="44"/>
        <v>1</v>
      </c>
      <c r="Q26" s="83">
        <f t="shared" si="2"/>
        <v>1</v>
      </c>
      <c r="R26" s="86">
        <v>0</v>
      </c>
      <c r="S26" s="86">
        <v>282571.48951</v>
      </c>
      <c r="T26" s="87">
        <v>123707.04353</v>
      </c>
      <c r="U26" s="80">
        <f t="shared" si="3"/>
        <v>0</v>
      </c>
      <c r="V26" s="81"/>
      <c r="W26" s="82">
        <f t="shared" si="43"/>
        <v>1</v>
      </c>
      <c r="X26" s="83">
        <f t="shared" si="16"/>
        <v>1</v>
      </c>
      <c r="Y26" s="79">
        <v>1024.45063</v>
      </c>
      <c r="Z26" s="88">
        <v>0</v>
      </c>
      <c r="AA26" s="88">
        <v>1024.45063</v>
      </c>
      <c r="AB26" s="88"/>
      <c r="AC26" s="88">
        <v>281547.03888</v>
      </c>
      <c r="AD26" s="88">
        <v>201168.608</v>
      </c>
      <c r="AE26" s="88">
        <v>48406.358</v>
      </c>
      <c r="AF26" s="88">
        <f t="shared" si="17"/>
        <v>31972.07288</v>
      </c>
      <c r="AG26" s="88">
        <f t="shared" si="41"/>
        <v>1598.603644</v>
      </c>
      <c r="AH26" s="88">
        <f t="shared" si="34"/>
        <v>2623.054274</v>
      </c>
      <c r="AI26" s="89">
        <f t="shared" si="7"/>
        <v>0</v>
      </c>
      <c r="AJ26" s="81"/>
      <c r="AK26" s="91">
        <f t="shared" si="40"/>
        <v>1.5</v>
      </c>
      <c r="AL26" s="83">
        <f t="shared" si="8"/>
        <v>1.5</v>
      </c>
      <c r="AM26" s="92">
        <v>10387.3</v>
      </c>
      <c r="AN26" s="82">
        <v>11794</v>
      </c>
      <c r="AO26" s="93">
        <f t="shared" si="9"/>
        <v>0.8807274885535017</v>
      </c>
      <c r="AP26" s="81"/>
      <c r="AQ26" s="91">
        <f t="shared" si="38"/>
        <v>1</v>
      </c>
      <c r="AR26" s="94">
        <f t="shared" si="18"/>
        <v>1</v>
      </c>
      <c r="AS26" s="92">
        <v>26399.2</v>
      </c>
      <c r="AT26" s="82">
        <v>29118</v>
      </c>
      <c r="AU26" s="89">
        <f t="shared" si="10"/>
        <v>0.9066282024864345</v>
      </c>
      <c r="AV26" s="81"/>
      <c r="AW26" s="91">
        <f t="shared" si="39"/>
        <v>1</v>
      </c>
      <c r="AX26" s="94">
        <f t="shared" si="11"/>
        <v>1</v>
      </c>
      <c r="AY26" s="95">
        <f t="shared" si="12"/>
        <v>6.5</v>
      </c>
      <c r="AZ26" s="96"/>
      <c r="BA26" s="75">
        <v>43739.488</v>
      </c>
      <c r="BB26" s="7"/>
      <c r="BC26" s="76">
        <f t="shared" si="13"/>
        <v>0.7974399783204251</v>
      </c>
      <c r="BD26" s="7">
        <f t="shared" si="19"/>
        <v>0</v>
      </c>
      <c r="BE26" s="77">
        <f t="shared" si="20"/>
        <v>0</v>
      </c>
      <c r="BF26" s="77">
        <f t="shared" si="21"/>
        <v>0</v>
      </c>
      <c r="BG26" s="77">
        <f t="shared" si="22"/>
        <v>1</v>
      </c>
      <c r="BH26" s="7">
        <f t="shared" si="23"/>
        <v>0</v>
      </c>
      <c r="BJ26" s="76">
        <f t="shared" si="14"/>
        <v>0.5837927566816795</v>
      </c>
      <c r="BK26" s="7">
        <f t="shared" si="24"/>
        <v>0</v>
      </c>
      <c r="BL26" s="77">
        <f t="shared" si="25"/>
        <v>0</v>
      </c>
      <c r="BM26" s="77">
        <f t="shared" si="26"/>
        <v>0</v>
      </c>
      <c r="BN26" s="77">
        <f t="shared" si="27"/>
        <v>1</v>
      </c>
      <c r="BO26" s="7">
        <f t="shared" si="28"/>
        <v>0</v>
      </c>
    </row>
    <row r="27" spans="1:67" s="8" customFormat="1" ht="15">
      <c r="A27" s="78" t="s">
        <v>90</v>
      </c>
      <c r="B27" s="79">
        <v>0</v>
      </c>
      <c r="C27" s="79">
        <v>2459.1</v>
      </c>
      <c r="D27" s="79">
        <v>0</v>
      </c>
      <c r="E27" s="80">
        <f t="shared" si="15"/>
        <v>0</v>
      </c>
      <c r="F27" s="81"/>
      <c r="G27" s="82">
        <f t="shared" si="42"/>
        <v>1</v>
      </c>
      <c r="H27" s="83">
        <f t="shared" si="0"/>
        <v>1</v>
      </c>
      <c r="I27" s="79">
        <v>0</v>
      </c>
      <c r="J27" s="84">
        <v>236362.62918000002</v>
      </c>
      <c r="K27" s="85">
        <v>191674.06939</v>
      </c>
      <c r="L27" s="79">
        <v>23791.84145</v>
      </c>
      <c r="M27" s="79">
        <v>0</v>
      </c>
      <c r="N27" s="80">
        <f t="shared" si="30"/>
        <v>0</v>
      </c>
      <c r="O27" s="81"/>
      <c r="P27" s="82">
        <f t="shared" si="44"/>
        <v>1</v>
      </c>
      <c r="Q27" s="83">
        <f t="shared" si="2"/>
        <v>1</v>
      </c>
      <c r="R27" s="86">
        <v>0</v>
      </c>
      <c r="S27" s="86">
        <v>235396.39837</v>
      </c>
      <c r="T27" s="87">
        <v>90700.78569</v>
      </c>
      <c r="U27" s="80">
        <f t="shared" si="3"/>
        <v>0</v>
      </c>
      <c r="V27" s="81"/>
      <c r="W27" s="82">
        <f t="shared" si="43"/>
        <v>1</v>
      </c>
      <c r="X27" s="83">
        <f t="shared" si="16"/>
        <v>1</v>
      </c>
      <c r="Y27" s="79">
        <v>-966.23081</v>
      </c>
      <c r="Z27" s="88">
        <v>0</v>
      </c>
      <c r="AA27" s="88">
        <v>-966.23081</v>
      </c>
      <c r="AB27" s="88"/>
      <c r="AC27" s="88">
        <v>236362.62918000002</v>
      </c>
      <c r="AD27" s="88">
        <v>191674.06939</v>
      </c>
      <c r="AE27" s="88">
        <v>23791.84145</v>
      </c>
      <c r="AF27" s="88">
        <f t="shared" si="17"/>
        <v>20896.71834000003</v>
      </c>
      <c r="AG27" s="88">
        <f t="shared" si="41"/>
        <v>1044.8359170000015</v>
      </c>
      <c r="AH27" s="88">
        <f t="shared" si="34"/>
        <v>1044.8359170000015</v>
      </c>
      <c r="AI27" s="89">
        <f t="shared" si="7"/>
        <v>0</v>
      </c>
      <c r="AJ27" s="81"/>
      <c r="AK27" s="91">
        <f t="shared" si="40"/>
        <v>1.5</v>
      </c>
      <c r="AL27" s="83">
        <f t="shared" si="8"/>
        <v>1.5</v>
      </c>
      <c r="AM27" s="92">
        <v>8544.9</v>
      </c>
      <c r="AN27" s="82">
        <v>10485</v>
      </c>
      <c r="AO27" s="93">
        <f t="shared" si="9"/>
        <v>0.814964234620887</v>
      </c>
      <c r="AP27" s="81"/>
      <c r="AQ27" s="91">
        <f t="shared" si="38"/>
        <v>1</v>
      </c>
      <c r="AR27" s="94">
        <f t="shared" si="18"/>
        <v>1</v>
      </c>
      <c r="AS27" s="92">
        <v>23184.4</v>
      </c>
      <c r="AT27" s="82">
        <v>26192</v>
      </c>
      <c r="AU27" s="89">
        <f t="shared" si="10"/>
        <v>0.8851710445937692</v>
      </c>
      <c r="AV27" s="81"/>
      <c r="AW27" s="91">
        <f t="shared" si="39"/>
        <v>1</v>
      </c>
      <c r="AX27" s="94">
        <f t="shared" si="11"/>
        <v>1</v>
      </c>
      <c r="AY27" s="95">
        <f t="shared" si="12"/>
        <v>6.5</v>
      </c>
      <c r="AZ27" s="96"/>
      <c r="BA27" s="75">
        <v>50833.50774</v>
      </c>
      <c r="BB27" s="7"/>
      <c r="BC27" s="76">
        <f t="shared" si="13"/>
        <v>0.8565395175612025</v>
      </c>
      <c r="BD27" s="7">
        <f t="shared" si="19"/>
        <v>0</v>
      </c>
      <c r="BE27" s="77">
        <f t="shared" si="20"/>
        <v>0</v>
      </c>
      <c r="BF27" s="77">
        <f t="shared" si="21"/>
        <v>0</v>
      </c>
      <c r="BG27" s="77">
        <f t="shared" si="22"/>
        <v>1</v>
      </c>
      <c r="BH27" s="7">
        <f t="shared" si="23"/>
        <v>0</v>
      </c>
      <c r="BJ27" s="76">
        <f t="shared" si="14"/>
        <v>0.5123191317781393</v>
      </c>
      <c r="BK27" s="7">
        <f t="shared" si="24"/>
        <v>0</v>
      </c>
      <c r="BL27" s="77">
        <f t="shared" si="25"/>
        <v>0</v>
      </c>
      <c r="BM27" s="77">
        <f t="shared" si="26"/>
        <v>0</v>
      </c>
      <c r="BN27" s="77">
        <f t="shared" si="27"/>
        <v>1</v>
      </c>
      <c r="BO27" s="7">
        <f t="shared" si="28"/>
        <v>0</v>
      </c>
    </row>
    <row r="28" spans="1:67" s="8" customFormat="1" ht="15">
      <c r="A28" s="78" t="s">
        <v>91</v>
      </c>
      <c r="B28" s="79">
        <v>0</v>
      </c>
      <c r="C28" s="79">
        <v>13737.6</v>
      </c>
      <c r="D28" s="79">
        <v>0</v>
      </c>
      <c r="E28" s="80">
        <f t="shared" si="15"/>
        <v>0</v>
      </c>
      <c r="F28" s="81"/>
      <c r="G28" s="82">
        <f t="shared" si="42"/>
        <v>1</v>
      </c>
      <c r="H28" s="83">
        <f t="shared" si="0"/>
        <v>1</v>
      </c>
      <c r="I28" s="79">
        <v>0</v>
      </c>
      <c r="J28" s="84">
        <v>272340.0479</v>
      </c>
      <c r="K28" s="85">
        <v>195885.81494</v>
      </c>
      <c r="L28" s="79">
        <v>36674.66307</v>
      </c>
      <c r="M28" s="79">
        <v>0</v>
      </c>
      <c r="N28" s="80">
        <f t="shared" si="30"/>
        <v>0</v>
      </c>
      <c r="O28" s="81"/>
      <c r="P28" s="82">
        <f t="shared" si="44"/>
        <v>1</v>
      </c>
      <c r="Q28" s="83">
        <f t="shared" si="2"/>
        <v>1</v>
      </c>
      <c r="R28" s="86">
        <v>0</v>
      </c>
      <c r="S28" s="86">
        <v>276625.21177999995</v>
      </c>
      <c r="T28" s="87">
        <v>117564.3992</v>
      </c>
      <c r="U28" s="80">
        <f t="shared" si="3"/>
        <v>0</v>
      </c>
      <c r="V28" s="81"/>
      <c r="W28" s="82">
        <f t="shared" si="43"/>
        <v>1</v>
      </c>
      <c r="X28" s="83">
        <f t="shared" si="16"/>
        <v>1</v>
      </c>
      <c r="Y28" s="79">
        <v>4285.16388</v>
      </c>
      <c r="Z28" s="88">
        <v>0</v>
      </c>
      <c r="AA28" s="88">
        <v>4285.16388</v>
      </c>
      <c r="AB28" s="88"/>
      <c r="AC28" s="88">
        <v>272340.0479</v>
      </c>
      <c r="AD28" s="88">
        <v>195885.81494</v>
      </c>
      <c r="AE28" s="88">
        <v>36674.66307</v>
      </c>
      <c r="AF28" s="88">
        <f t="shared" si="17"/>
        <v>39779.56988999999</v>
      </c>
      <c r="AG28" s="88">
        <f t="shared" si="41"/>
        <v>1988.9784944999997</v>
      </c>
      <c r="AH28" s="88">
        <f t="shared" si="34"/>
        <v>6274.142374499999</v>
      </c>
      <c r="AI28" s="89">
        <f t="shared" si="7"/>
        <v>0</v>
      </c>
      <c r="AJ28" s="81"/>
      <c r="AK28" s="91">
        <f t="shared" si="40"/>
        <v>1.5</v>
      </c>
      <c r="AL28" s="83">
        <f t="shared" si="8"/>
        <v>1.5</v>
      </c>
      <c r="AM28" s="92">
        <v>10645.7</v>
      </c>
      <c r="AN28" s="82">
        <v>11794</v>
      </c>
      <c r="AO28" s="93">
        <f t="shared" si="9"/>
        <v>0.9026369340342547</v>
      </c>
      <c r="AP28" s="81"/>
      <c r="AQ28" s="91">
        <f t="shared" si="38"/>
        <v>1</v>
      </c>
      <c r="AR28" s="94">
        <f t="shared" si="18"/>
        <v>1</v>
      </c>
      <c r="AS28" s="92">
        <v>28375.2</v>
      </c>
      <c r="AT28" s="82">
        <v>29118</v>
      </c>
      <c r="AU28" s="89">
        <f t="shared" si="10"/>
        <v>0.9744900061817433</v>
      </c>
      <c r="AV28" s="81"/>
      <c r="AW28" s="91">
        <f t="shared" si="39"/>
        <v>1</v>
      </c>
      <c r="AX28" s="94">
        <f t="shared" si="11"/>
        <v>1</v>
      </c>
      <c r="AY28" s="95">
        <f t="shared" si="12"/>
        <v>6.5</v>
      </c>
      <c r="AZ28" s="96"/>
      <c r="BA28" s="75">
        <v>44476.896</v>
      </c>
      <c r="BB28" s="7"/>
      <c r="BC28" s="76">
        <f t="shared" si="13"/>
        <v>0.7429856038458329</v>
      </c>
      <c r="BD28" s="7">
        <f t="shared" si="19"/>
        <v>0</v>
      </c>
      <c r="BE28" s="77">
        <f t="shared" si="20"/>
        <v>0</v>
      </c>
      <c r="BF28" s="77">
        <f t="shared" si="21"/>
        <v>0</v>
      </c>
      <c r="BG28" s="77">
        <f t="shared" si="22"/>
        <v>1</v>
      </c>
      <c r="BH28" s="7">
        <f t="shared" si="23"/>
        <v>0</v>
      </c>
      <c r="BJ28" s="76">
        <f t="shared" si="14"/>
        <v>0.5243173571011497</v>
      </c>
      <c r="BK28" s="7">
        <f t="shared" si="24"/>
        <v>0</v>
      </c>
      <c r="BL28" s="77">
        <f t="shared" si="25"/>
        <v>0</v>
      </c>
      <c r="BM28" s="77">
        <f t="shared" si="26"/>
        <v>0</v>
      </c>
      <c r="BN28" s="77">
        <f t="shared" si="27"/>
        <v>1</v>
      </c>
      <c r="BO28" s="7">
        <f t="shared" si="28"/>
        <v>0</v>
      </c>
    </row>
    <row r="29" spans="1:67" s="8" customFormat="1" ht="15">
      <c r="A29" s="78" t="s">
        <v>92</v>
      </c>
      <c r="B29" s="79">
        <v>0</v>
      </c>
      <c r="C29" s="79">
        <v>19551.2</v>
      </c>
      <c r="D29" s="79">
        <v>0</v>
      </c>
      <c r="E29" s="80">
        <f t="shared" si="15"/>
        <v>0</v>
      </c>
      <c r="F29" s="81"/>
      <c r="G29" s="82">
        <f t="shared" si="42"/>
        <v>1</v>
      </c>
      <c r="H29" s="83">
        <f t="shared" si="0"/>
        <v>1</v>
      </c>
      <c r="I29" s="79">
        <v>0</v>
      </c>
      <c r="J29" s="84">
        <v>348024.44748000003</v>
      </c>
      <c r="K29" s="85">
        <v>241571.67016</v>
      </c>
      <c r="L29" s="79">
        <v>60058.10632</v>
      </c>
      <c r="M29" s="79">
        <v>0</v>
      </c>
      <c r="N29" s="80">
        <f t="shared" si="30"/>
        <v>0</v>
      </c>
      <c r="O29" s="81"/>
      <c r="P29" s="82">
        <f>IF(N29&lt;=0.5,1,0)</f>
        <v>1</v>
      </c>
      <c r="Q29" s="83">
        <f>O29+P29</f>
        <v>1</v>
      </c>
      <c r="R29" s="86">
        <v>0</v>
      </c>
      <c r="S29" s="86">
        <v>354985.17082</v>
      </c>
      <c r="T29" s="87">
        <v>169049.31874000002</v>
      </c>
      <c r="U29" s="80">
        <f t="shared" si="3"/>
        <v>0</v>
      </c>
      <c r="V29" s="81"/>
      <c r="W29" s="82">
        <f t="shared" si="43"/>
        <v>1</v>
      </c>
      <c r="X29" s="83">
        <f t="shared" si="16"/>
        <v>1</v>
      </c>
      <c r="Y29" s="79">
        <v>6960.72334</v>
      </c>
      <c r="Z29" s="88">
        <v>0</v>
      </c>
      <c r="AA29" s="88">
        <v>6960.72334</v>
      </c>
      <c r="AB29" s="88"/>
      <c r="AC29" s="88">
        <v>348024.44748000003</v>
      </c>
      <c r="AD29" s="88">
        <v>241571.67016</v>
      </c>
      <c r="AE29" s="88">
        <v>60058.10632</v>
      </c>
      <c r="AF29" s="88">
        <f t="shared" si="17"/>
        <v>46394.671000000024</v>
      </c>
      <c r="AG29" s="88">
        <f>AF29*10%</f>
        <v>4639.467100000003</v>
      </c>
      <c r="AH29" s="88">
        <f t="shared" si="34"/>
        <v>11600.190440000002</v>
      </c>
      <c r="AI29" s="89">
        <f t="shared" si="7"/>
        <v>0</v>
      </c>
      <c r="AJ29" s="90"/>
      <c r="AK29" s="91">
        <f t="shared" si="40"/>
        <v>1.5</v>
      </c>
      <c r="AL29" s="83">
        <f t="shared" si="8"/>
        <v>1.5</v>
      </c>
      <c r="AM29" s="92">
        <v>13417.3</v>
      </c>
      <c r="AN29" s="82">
        <v>13953</v>
      </c>
      <c r="AO29" s="93">
        <f t="shared" si="9"/>
        <v>0.9616068229054683</v>
      </c>
      <c r="AP29" s="90"/>
      <c r="AQ29" s="91">
        <f t="shared" si="38"/>
        <v>1</v>
      </c>
      <c r="AR29" s="94">
        <f t="shared" si="18"/>
        <v>1</v>
      </c>
      <c r="AS29" s="92">
        <v>33104.6</v>
      </c>
      <c r="AT29" s="82">
        <v>33128</v>
      </c>
      <c r="AU29" s="89">
        <f t="shared" si="10"/>
        <v>0.9992936488770828</v>
      </c>
      <c r="AV29" s="90"/>
      <c r="AW29" s="91">
        <f t="shared" si="39"/>
        <v>1</v>
      </c>
      <c r="AX29" s="94">
        <f t="shared" si="11"/>
        <v>1</v>
      </c>
      <c r="AY29" s="95">
        <f t="shared" si="12"/>
        <v>6.5</v>
      </c>
      <c r="AZ29" s="96"/>
      <c r="BA29" s="75">
        <v>32919.397</v>
      </c>
      <c r="BB29" s="7"/>
      <c r="BC29" s="76">
        <f t="shared" si="13"/>
        <v>0.7407758758067535</v>
      </c>
      <c r="BD29" s="7">
        <f t="shared" si="19"/>
        <v>0</v>
      </c>
      <c r="BE29" s="77">
        <f t="shared" si="20"/>
        <v>0</v>
      </c>
      <c r="BF29" s="77">
        <f t="shared" si="21"/>
        <v>0</v>
      </c>
      <c r="BG29" s="77">
        <f t="shared" si="22"/>
        <v>1</v>
      </c>
      <c r="BH29" s="7">
        <f t="shared" si="23"/>
        <v>0</v>
      </c>
      <c r="BJ29" s="76">
        <f t="shared" si="14"/>
        <v>0.5194995750223478</v>
      </c>
      <c r="BK29" s="7">
        <f t="shared" si="24"/>
        <v>0</v>
      </c>
      <c r="BL29" s="77">
        <f t="shared" si="25"/>
        <v>0</v>
      </c>
      <c r="BM29" s="77">
        <f t="shared" si="26"/>
        <v>0</v>
      </c>
      <c r="BN29" s="77">
        <f t="shared" si="27"/>
        <v>1</v>
      </c>
      <c r="BO29" s="7">
        <f t="shared" si="28"/>
        <v>0</v>
      </c>
    </row>
    <row r="30" spans="1:67" s="8" customFormat="1" ht="15">
      <c r="A30" s="78" t="s">
        <v>93</v>
      </c>
      <c r="B30" s="79">
        <v>0</v>
      </c>
      <c r="C30" s="79">
        <v>3053.9</v>
      </c>
      <c r="D30" s="79">
        <v>0</v>
      </c>
      <c r="E30" s="80">
        <f t="shared" si="15"/>
        <v>0</v>
      </c>
      <c r="F30" s="81"/>
      <c r="G30" s="82">
        <f t="shared" si="42"/>
        <v>1</v>
      </c>
      <c r="H30" s="83">
        <f t="shared" si="0"/>
        <v>1</v>
      </c>
      <c r="I30" s="79">
        <v>0</v>
      </c>
      <c r="J30" s="84">
        <v>255072.06084</v>
      </c>
      <c r="K30" s="85">
        <v>227173.88463</v>
      </c>
      <c r="L30" s="79">
        <v>16796.953129999998</v>
      </c>
      <c r="M30" s="79">
        <v>0</v>
      </c>
      <c r="N30" s="80">
        <f t="shared" si="30"/>
        <v>0</v>
      </c>
      <c r="O30" s="81"/>
      <c r="P30" s="82">
        <f t="shared" si="44"/>
        <v>1</v>
      </c>
      <c r="Q30" s="83">
        <f t="shared" si="2"/>
        <v>1</v>
      </c>
      <c r="R30" s="86">
        <v>0</v>
      </c>
      <c r="S30" s="86">
        <v>255296.33755000003</v>
      </c>
      <c r="T30" s="87">
        <v>106547.48541</v>
      </c>
      <c r="U30" s="80">
        <f t="shared" si="3"/>
        <v>0</v>
      </c>
      <c r="V30" s="81"/>
      <c r="W30" s="82">
        <f t="shared" si="43"/>
        <v>1</v>
      </c>
      <c r="X30" s="83">
        <f t="shared" si="16"/>
        <v>1</v>
      </c>
      <c r="Y30" s="79">
        <v>224.27670999999998</v>
      </c>
      <c r="Z30" s="88">
        <v>0</v>
      </c>
      <c r="AA30" s="88">
        <v>224.27670999999998</v>
      </c>
      <c r="AB30" s="88"/>
      <c r="AC30" s="88">
        <v>255072.06084</v>
      </c>
      <c r="AD30" s="88">
        <v>227173.88463</v>
      </c>
      <c r="AE30" s="88">
        <v>16796.953129999998</v>
      </c>
      <c r="AF30" s="88">
        <f t="shared" si="17"/>
        <v>11101.223080000007</v>
      </c>
      <c r="AG30" s="88">
        <f t="shared" si="41"/>
        <v>555.0611540000003</v>
      </c>
      <c r="AH30" s="88">
        <f t="shared" si="34"/>
        <v>779.3378640000003</v>
      </c>
      <c r="AI30" s="89">
        <f t="shared" si="7"/>
        <v>0</v>
      </c>
      <c r="AJ30" s="81"/>
      <c r="AK30" s="91">
        <f t="shared" si="40"/>
        <v>1.5</v>
      </c>
      <c r="AL30" s="83">
        <f t="shared" si="8"/>
        <v>1.5</v>
      </c>
      <c r="AM30" s="92">
        <v>6493</v>
      </c>
      <c r="AN30" s="82">
        <v>9738</v>
      </c>
      <c r="AO30" s="93">
        <f t="shared" si="9"/>
        <v>0.6667693571575272</v>
      </c>
      <c r="AP30" s="81"/>
      <c r="AQ30" s="91">
        <f t="shared" si="38"/>
        <v>1</v>
      </c>
      <c r="AR30" s="94">
        <f t="shared" si="18"/>
        <v>1</v>
      </c>
      <c r="AS30" s="92">
        <v>19398.9</v>
      </c>
      <c r="AT30" s="82">
        <v>23216</v>
      </c>
      <c r="AU30" s="89">
        <f t="shared" si="10"/>
        <v>0.8355832184700207</v>
      </c>
      <c r="AV30" s="81"/>
      <c r="AW30" s="91">
        <f t="shared" si="39"/>
        <v>1</v>
      </c>
      <c r="AX30" s="94">
        <f t="shared" si="11"/>
        <v>1</v>
      </c>
      <c r="AY30" s="95">
        <f t="shared" si="12"/>
        <v>6.5</v>
      </c>
      <c r="AZ30" s="96"/>
      <c r="BA30" s="75">
        <v>58950.027</v>
      </c>
      <c r="BB30" s="7"/>
      <c r="BC30" s="76">
        <f t="shared" si="13"/>
        <v>0.9252566583822215</v>
      </c>
      <c r="BD30" s="7">
        <f t="shared" si="19"/>
        <v>0</v>
      </c>
      <c r="BE30" s="77">
        <f t="shared" si="20"/>
        <v>0</v>
      </c>
      <c r="BF30" s="77">
        <f t="shared" si="21"/>
        <v>0</v>
      </c>
      <c r="BG30" s="77">
        <f t="shared" si="22"/>
        <v>0</v>
      </c>
      <c r="BH30" s="7">
        <f t="shared" si="23"/>
        <v>1</v>
      </c>
      <c r="BJ30" s="76">
        <f t="shared" si="14"/>
        <v>0.509996274425977</v>
      </c>
      <c r="BK30" s="7">
        <f t="shared" si="24"/>
        <v>0</v>
      </c>
      <c r="BL30" s="77">
        <f t="shared" si="25"/>
        <v>0</v>
      </c>
      <c r="BM30" s="77">
        <f t="shared" si="26"/>
        <v>0</v>
      </c>
      <c r="BN30" s="77">
        <f t="shared" si="27"/>
        <v>1</v>
      </c>
      <c r="BO30" s="7">
        <f t="shared" si="28"/>
        <v>0</v>
      </c>
    </row>
    <row r="31" spans="1:67" s="8" customFormat="1" ht="15">
      <c r="A31" s="78" t="s">
        <v>94</v>
      </c>
      <c r="B31" s="79">
        <v>0</v>
      </c>
      <c r="C31" s="79">
        <v>4469</v>
      </c>
      <c r="D31" s="79">
        <v>0</v>
      </c>
      <c r="E31" s="80">
        <f t="shared" si="15"/>
        <v>0</v>
      </c>
      <c r="F31" s="81"/>
      <c r="G31" s="82">
        <f t="shared" si="42"/>
        <v>1</v>
      </c>
      <c r="H31" s="83">
        <f t="shared" si="0"/>
        <v>1</v>
      </c>
      <c r="I31" s="79">
        <v>0</v>
      </c>
      <c r="J31" s="84">
        <v>514904.84987</v>
      </c>
      <c r="K31" s="85">
        <v>381750.92229</v>
      </c>
      <c r="L31" s="79">
        <v>90608.36584</v>
      </c>
      <c r="M31" s="79">
        <v>0</v>
      </c>
      <c r="N31" s="80">
        <f t="shared" si="30"/>
        <v>0</v>
      </c>
      <c r="O31" s="81"/>
      <c r="P31" s="82">
        <f t="shared" si="44"/>
        <v>1</v>
      </c>
      <c r="Q31" s="83">
        <f t="shared" si="2"/>
        <v>1</v>
      </c>
      <c r="R31" s="86">
        <v>0</v>
      </c>
      <c r="S31" s="86">
        <v>513821.357</v>
      </c>
      <c r="T31" s="87">
        <v>196683.39685</v>
      </c>
      <c r="U31" s="80">
        <f t="shared" si="3"/>
        <v>0</v>
      </c>
      <c r="V31" s="81"/>
      <c r="W31" s="82">
        <f t="shared" si="43"/>
        <v>1</v>
      </c>
      <c r="X31" s="83">
        <f t="shared" si="16"/>
        <v>1</v>
      </c>
      <c r="Y31" s="79">
        <v>-1083.49287</v>
      </c>
      <c r="Z31" s="88">
        <v>0</v>
      </c>
      <c r="AA31" s="88">
        <v>-1083.49287</v>
      </c>
      <c r="AB31" s="88"/>
      <c r="AC31" s="88">
        <v>514904.84987</v>
      </c>
      <c r="AD31" s="88">
        <v>381750.92229</v>
      </c>
      <c r="AE31" s="88">
        <v>90608.36584</v>
      </c>
      <c r="AF31" s="88">
        <f t="shared" si="17"/>
        <v>42545.56173999996</v>
      </c>
      <c r="AG31" s="88">
        <f t="shared" si="41"/>
        <v>2127.2780869999983</v>
      </c>
      <c r="AH31" s="88">
        <f t="shared" si="34"/>
        <v>2127.2780869999983</v>
      </c>
      <c r="AI31" s="89">
        <f t="shared" si="7"/>
        <v>0</v>
      </c>
      <c r="AJ31" s="81"/>
      <c r="AK31" s="91">
        <f t="shared" si="40"/>
        <v>1.5</v>
      </c>
      <c r="AL31" s="83">
        <f t="shared" si="8"/>
        <v>1.5</v>
      </c>
      <c r="AM31" s="92">
        <v>12686.1</v>
      </c>
      <c r="AN31" s="82">
        <v>13953</v>
      </c>
      <c r="AO31" s="93">
        <f>AM31/AN31</f>
        <v>0.9092023220812728</v>
      </c>
      <c r="AP31" s="81"/>
      <c r="AQ31" s="91">
        <f t="shared" si="38"/>
        <v>1</v>
      </c>
      <c r="AR31" s="94">
        <f t="shared" si="18"/>
        <v>1</v>
      </c>
      <c r="AS31" s="92">
        <v>33064.3</v>
      </c>
      <c r="AT31" s="82">
        <v>33128</v>
      </c>
      <c r="AU31" s="89">
        <f t="shared" si="10"/>
        <v>0.9980771552765033</v>
      </c>
      <c r="AV31" s="81"/>
      <c r="AW31" s="91">
        <f t="shared" si="39"/>
        <v>1</v>
      </c>
      <c r="AX31" s="94">
        <f t="shared" si="11"/>
        <v>1</v>
      </c>
      <c r="AY31" s="95">
        <f t="shared" si="12"/>
        <v>6.5</v>
      </c>
      <c r="AZ31" s="96"/>
      <c r="BA31" s="75">
        <v>65081.66259000001</v>
      </c>
      <c r="BB31" s="7"/>
      <c r="BC31" s="76">
        <f t="shared" si="13"/>
        <v>0.8663020316944939</v>
      </c>
      <c r="BD31" s="7">
        <f t="shared" si="19"/>
        <v>0</v>
      </c>
      <c r="BE31" s="77">
        <f t="shared" si="20"/>
        <v>0</v>
      </c>
      <c r="BF31" s="77">
        <f t="shared" si="21"/>
        <v>0</v>
      </c>
      <c r="BG31" s="77">
        <f t="shared" si="22"/>
        <v>1</v>
      </c>
      <c r="BH31" s="7">
        <f t="shared" si="23"/>
        <v>0</v>
      </c>
      <c r="BJ31" s="76">
        <f t="shared" si="14"/>
        <v>0.4892505736255782</v>
      </c>
      <c r="BK31" s="7">
        <f t="shared" si="24"/>
        <v>0</v>
      </c>
      <c r="BL31" s="77">
        <f t="shared" si="25"/>
        <v>0</v>
      </c>
      <c r="BM31" s="77">
        <f t="shared" si="26"/>
        <v>1</v>
      </c>
      <c r="BN31" s="77">
        <f t="shared" si="27"/>
        <v>0</v>
      </c>
      <c r="BO31" s="7">
        <f t="shared" si="28"/>
        <v>0</v>
      </c>
    </row>
    <row r="32" spans="1:67" s="8" customFormat="1" ht="15">
      <c r="A32" s="78" t="s">
        <v>95</v>
      </c>
      <c r="B32" s="79">
        <v>0</v>
      </c>
      <c r="C32" s="79">
        <v>6330.7</v>
      </c>
      <c r="D32" s="79">
        <v>0</v>
      </c>
      <c r="E32" s="80">
        <f>IF(AND(B32=0,D32=0),0,B32/(IF(C32&gt;0,C32,0)+D32))</f>
        <v>0</v>
      </c>
      <c r="F32" s="81"/>
      <c r="G32" s="82">
        <f t="shared" si="42"/>
        <v>1</v>
      </c>
      <c r="H32" s="83">
        <f>F32+G32</f>
        <v>1</v>
      </c>
      <c r="I32" s="79">
        <v>0</v>
      </c>
      <c r="J32" s="84">
        <v>547408.43355</v>
      </c>
      <c r="K32" s="85">
        <v>408054.00347000005</v>
      </c>
      <c r="L32" s="79">
        <v>75714.48275</v>
      </c>
      <c r="M32" s="79">
        <v>0</v>
      </c>
      <c r="N32" s="80">
        <f>(I32-M32)/(J32-K32-L32)</f>
        <v>0</v>
      </c>
      <c r="O32" s="81"/>
      <c r="P32" s="82">
        <f t="shared" si="44"/>
        <v>1</v>
      </c>
      <c r="Q32" s="83">
        <f>O32+P32</f>
        <v>1</v>
      </c>
      <c r="R32" s="86">
        <v>0</v>
      </c>
      <c r="S32" s="86">
        <v>544626.57627</v>
      </c>
      <c r="T32" s="87">
        <v>273820.78839</v>
      </c>
      <c r="U32" s="80">
        <f>R32/(S32-T32)</f>
        <v>0</v>
      </c>
      <c r="V32" s="81"/>
      <c r="W32" s="82">
        <f t="shared" si="43"/>
        <v>1</v>
      </c>
      <c r="X32" s="83">
        <f t="shared" si="16"/>
        <v>1</v>
      </c>
      <c r="Y32" s="79">
        <v>-2781.8572799999997</v>
      </c>
      <c r="Z32" s="88">
        <v>0</v>
      </c>
      <c r="AA32" s="88">
        <v>-2781.8572799999997</v>
      </c>
      <c r="AB32" s="88"/>
      <c r="AC32" s="88">
        <v>547408.43355</v>
      </c>
      <c r="AD32" s="88">
        <v>408054.00347000005</v>
      </c>
      <c r="AE32" s="88">
        <v>75714.48275</v>
      </c>
      <c r="AF32" s="88">
        <f>AC32-AD32-AE32</f>
        <v>63639.94732999991</v>
      </c>
      <c r="AG32" s="88">
        <f>AF32*10%</f>
        <v>6363.994732999991</v>
      </c>
      <c r="AH32" s="88">
        <f>IF(AA32&gt;0,AA32,0)+AG32+IF(AB32&gt;0,AB32,0)</f>
        <v>6363.994732999991</v>
      </c>
      <c r="AI32" s="89">
        <f t="shared" si="7"/>
        <v>0</v>
      </c>
      <c r="AJ32" s="90"/>
      <c r="AK32" s="91">
        <f t="shared" si="40"/>
        <v>1.5</v>
      </c>
      <c r="AL32" s="83">
        <f>AJ32+AK32</f>
        <v>1.5</v>
      </c>
      <c r="AM32" s="92">
        <v>15451</v>
      </c>
      <c r="AN32" s="82">
        <v>16894</v>
      </c>
      <c r="AO32" s="93">
        <f>AM32/AN32</f>
        <v>0.9145850597845389</v>
      </c>
      <c r="AP32" s="90"/>
      <c r="AQ32" s="91">
        <f t="shared" si="38"/>
        <v>1</v>
      </c>
      <c r="AR32" s="94">
        <f>AP32+AQ32</f>
        <v>1</v>
      </c>
      <c r="AS32" s="92">
        <v>36380.1</v>
      </c>
      <c r="AT32" s="82">
        <v>38668</v>
      </c>
      <c r="AU32" s="89">
        <f t="shared" si="10"/>
        <v>0.9408322126823213</v>
      </c>
      <c r="AV32" s="90"/>
      <c r="AW32" s="91">
        <f t="shared" si="39"/>
        <v>1</v>
      </c>
      <c r="AX32" s="94">
        <f t="shared" si="11"/>
        <v>1</v>
      </c>
      <c r="AY32" s="95">
        <f t="shared" si="12"/>
        <v>6.5</v>
      </c>
      <c r="AZ32" s="96"/>
      <c r="BA32" s="75">
        <v>83110.524</v>
      </c>
      <c r="BB32" s="7"/>
      <c r="BC32" s="76">
        <f t="shared" si="13"/>
        <v>0.7673873493344998</v>
      </c>
      <c r="BD32" s="7">
        <f t="shared" si="19"/>
        <v>0</v>
      </c>
      <c r="BE32" s="77">
        <f t="shared" si="20"/>
        <v>0</v>
      </c>
      <c r="BF32" s="77">
        <f t="shared" si="21"/>
        <v>0</v>
      </c>
      <c r="BG32" s="77">
        <f t="shared" si="22"/>
        <v>1</v>
      </c>
      <c r="BH32" s="7">
        <f t="shared" si="23"/>
        <v>0</v>
      </c>
      <c r="BJ32" s="76">
        <f t="shared" si="14"/>
        <v>0.5805269702771692</v>
      </c>
      <c r="BK32" s="7">
        <f t="shared" si="24"/>
        <v>0</v>
      </c>
      <c r="BL32" s="77">
        <f t="shared" si="25"/>
        <v>0</v>
      </c>
      <c r="BM32" s="77">
        <f t="shared" si="26"/>
        <v>0</v>
      </c>
      <c r="BN32" s="77">
        <f t="shared" si="27"/>
        <v>1</v>
      </c>
      <c r="BO32" s="7">
        <f t="shared" si="28"/>
        <v>0</v>
      </c>
    </row>
    <row r="33" spans="1:67" s="8" customFormat="1" ht="15">
      <c r="A33" s="78" t="s">
        <v>96</v>
      </c>
      <c r="B33" s="79">
        <v>0</v>
      </c>
      <c r="C33" s="79">
        <v>3605.4</v>
      </c>
      <c r="D33" s="79">
        <v>0</v>
      </c>
      <c r="E33" s="80">
        <f t="shared" si="15"/>
        <v>0</v>
      </c>
      <c r="F33" s="81"/>
      <c r="G33" s="82">
        <f t="shared" si="42"/>
        <v>1</v>
      </c>
      <c r="H33" s="83">
        <f t="shared" si="0"/>
        <v>1</v>
      </c>
      <c r="I33" s="79">
        <v>0</v>
      </c>
      <c r="J33" s="84">
        <v>148621.75016</v>
      </c>
      <c r="K33" s="85">
        <v>105628.13376000001</v>
      </c>
      <c r="L33" s="79">
        <v>19818.03003</v>
      </c>
      <c r="M33" s="79">
        <v>0</v>
      </c>
      <c r="N33" s="80">
        <f t="shared" si="30"/>
        <v>0</v>
      </c>
      <c r="O33" s="81"/>
      <c r="P33" s="82">
        <f t="shared" si="44"/>
        <v>1</v>
      </c>
      <c r="Q33" s="83">
        <f t="shared" si="2"/>
        <v>1</v>
      </c>
      <c r="R33" s="86">
        <v>0</v>
      </c>
      <c r="S33" s="86">
        <v>147616.64390999998</v>
      </c>
      <c r="T33" s="87">
        <v>62934.17899</v>
      </c>
      <c r="U33" s="80">
        <f t="shared" si="3"/>
        <v>0</v>
      </c>
      <c r="V33" s="81"/>
      <c r="W33" s="82">
        <f t="shared" si="43"/>
        <v>1</v>
      </c>
      <c r="X33" s="83">
        <f t="shared" si="16"/>
        <v>1</v>
      </c>
      <c r="Y33" s="79">
        <v>-1005.10625</v>
      </c>
      <c r="Z33" s="88">
        <v>0</v>
      </c>
      <c r="AA33" s="88">
        <v>-1005.10625</v>
      </c>
      <c r="AB33" s="88"/>
      <c r="AC33" s="88">
        <v>148621.75016</v>
      </c>
      <c r="AD33" s="88">
        <v>105628.13376000001</v>
      </c>
      <c r="AE33" s="88">
        <v>19818.03003</v>
      </c>
      <c r="AF33" s="88">
        <f t="shared" si="17"/>
        <v>23175.586369999983</v>
      </c>
      <c r="AG33" s="88">
        <f aca="true" t="shared" si="45" ref="AG33:AG38">AF33*5%</f>
        <v>1158.7793184999991</v>
      </c>
      <c r="AH33" s="88">
        <f t="shared" si="34"/>
        <v>1158.7793184999991</v>
      </c>
      <c r="AI33" s="89">
        <f t="shared" si="7"/>
        <v>0</v>
      </c>
      <c r="AJ33" s="90"/>
      <c r="AK33" s="91">
        <f t="shared" si="40"/>
        <v>1.5</v>
      </c>
      <c r="AL33" s="83">
        <f t="shared" si="8"/>
        <v>1.5</v>
      </c>
      <c r="AM33" s="92">
        <v>6534.1</v>
      </c>
      <c r="AN33" s="82">
        <v>9587</v>
      </c>
      <c r="AO33" s="93">
        <f t="shared" si="9"/>
        <v>0.6815583602795453</v>
      </c>
      <c r="AP33" s="90"/>
      <c r="AQ33" s="91">
        <f t="shared" si="38"/>
        <v>1</v>
      </c>
      <c r="AR33" s="94">
        <f>AP33+AQ33</f>
        <v>1</v>
      </c>
      <c r="AS33" s="92">
        <v>20623.9</v>
      </c>
      <c r="AT33" s="82">
        <v>24201</v>
      </c>
      <c r="AU33" s="89">
        <f t="shared" si="10"/>
        <v>0.8521920581794141</v>
      </c>
      <c r="AV33" s="90"/>
      <c r="AW33" s="91">
        <f t="shared" si="39"/>
        <v>1</v>
      </c>
      <c r="AX33" s="94">
        <f t="shared" si="11"/>
        <v>1</v>
      </c>
      <c r="AY33" s="95">
        <f t="shared" si="12"/>
        <v>6.5</v>
      </c>
      <c r="AZ33" s="96"/>
      <c r="BA33" s="75">
        <v>14925.824</v>
      </c>
      <c r="BB33" s="7"/>
      <c r="BC33" s="76">
        <f t="shared" si="13"/>
        <v>0.7295338629213712</v>
      </c>
      <c r="BD33" s="7">
        <f t="shared" si="19"/>
        <v>0</v>
      </c>
      <c r="BE33" s="77">
        <f t="shared" si="20"/>
        <v>0</v>
      </c>
      <c r="BF33" s="77">
        <f t="shared" si="21"/>
        <v>0</v>
      </c>
      <c r="BG33" s="77">
        <f t="shared" si="22"/>
        <v>1</v>
      </c>
      <c r="BH33" s="7">
        <f t="shared" si="23"/>
        <v>0</v>
      </c>
      <c r="BJ33" s="76">
        <f t="shared" si="14"/>
        <v>0.4054713368064766</v>
      </c>
      <c r="BK33" s="7">
        <f t="shared" si="24"/>
        <v>0</v>
      </c>
      <c r="BL33" s="77">
        <f t="shared" si="25"/>
        <v>0</v>
      </c>
      <c r="BM33" s="77">
        <f t="shared" si="26"/>
        <v>1</v>
      </c>
      <c r="BN33" s="77">
        <f t="shared" si="27"/>
        <v>0</v>
      </c>
      <c r="BO33" s="7">
        <f t="shared" si="28"/>
        <v>0</v>
      </c>
    </row>
    <row r="34" spans="1:67" s="8" customFormat="1" ht="15">
      <c r="A34" s="104" t="s">
        <v>97</v>
      </c>
      <c r="B34" s="52">
        <v>0</v>
      </c>
      <c r="C34" s="52">
        <v>-1631.8</v>
      </c>
      <c r="D34" s="52">
        <v>0</v>
      </c>
      <c r="E34" s="60">
        <f>IF(AND(B34=0,D34=0),0,B34/(IF(C34&gt;0,C34,0)+D34))</f>
        <v>0</v>
      </c>
      <c r="F34" s="54">
        <f>IF(E34&lt;=1.05,1,0)</f>
        <v>1</v>
      </c>
      <c r="G34" s="67"/>
      <c r="H34" s="68">
        <f t="shared" si="0"/>
        <v>1</v>
      </c>
      <c r="I34" s="52">
        <v>0</v>
      </c>
      <c r="J34" s="58">
        <v>312526.3678</v>
      </c>
      <c r="K34" s="59">
        <v>204736.19228</v>
      </c>
      <c r="L34" s="52">
        <v>31695.296059999997</v>
      </c>
      <c r="M34" s="52">
        <v>0</v>
      </c>
      <c r="N34" s="60">
        <f t="shared" si="30"/>
        <v>0</v>
      </c>
      <c r="O34" s="54">
        <f>IF(N34&lt;=1,1,0)</f>
        <v>1</v>
      </c>
      <c r="P34" s="67"/>
      <c r="Q34" s="68">
        <f t="shared" si="2"/>
        <v>1</v>
      </c>
      <c r="R34" s="99">
        <v>0</v>
      </c>
      <c r="S34" s="99">
        <v>310150.72813999996</v>
      </c>
      <c r="T34" s="62">
        <v>114318.56443000001</v>
      </c>
      <c r="U34" s="60">
        <f t="shared" si="3"/>
        <v>0</v>
      </c>
      <c r="V34" s="54">
        <f>IF(U34&lt;=0.15,1,0)</f>
        <v>1</v>
      </c>
      <c r="W34" s="67"/>
      <c r="X34" s="68">
        <f t="shared" si="16"/>
        <v>1</v>
      </c>
      <c r="Y34" s="52">
        <v>-2375.6396600000003</v>
      </c>
      <c r="Z34" s="63">
        <v>0</v>
      </c>
      <c r="AA34" s="63">
        <v>-2375.6396600000003</v>
      </c>
      <c r="AB34" s="63"/>
      <c r="AC34" s="64">
        <v>312526.3678</v>
      </c>
      <c r="AD34" s="64">
        <v>204736.19228</v>
      </c>
      <c r="AE34" s="64">
        <v>31695.296059999997</v>
      </c>
      <c r="AF34" s="63">
        <f t="shared" si="17"/>
        <v>76094.87946000003</v>
      </c>
      <c r="AG34" s="64">
        <f t="shared" si="45"/>
        <v>3804.7439730000015</v>
      </c>
      <c r="AH34" s="63">
        <f t="shared" si="34"/>
        <v>3804.7439730000015</v>
      </c>
      <c r="AI34" s="103">
        <f t="shared" si="7"/>
        <v>0</v>
      </c>
      <c r="AJ34" s="66">
        <f>IF(AI34&lt;=0.1,1.5,0)</f>
        <v>1.5</v>
      </c>
      <c r="AK34" s="105"/>
      <c r="AL34" s="68">
        <f t="shared" si="8"/>
        <v>1.5</v>
      </c>
      <c r="AM34" s="69">
        <v>11362.6</v>
      </c>
      <c r="AN34" s="67">
        <v>11794</v>
      </c>
      <c r="AO34" s="102">
        <f t="shared" si="9"/>
        <v>0.9634220790232322</v>
      </c>
      <c r="AP34" s="71">
        <f>IF(AO34&lt;=1,1,0)</f>
        <v>1</v>
      </c>
      <c r="AQ34" s="105"/>
      <c r="AR34" s="106">
        <f t="shared" si="18"/>
        <v>1</v>
      </c>
      <c r="AS34" s="69">
        <v>28932.2</v>
      </c>
      <c r="AT34" s="67">
        <v>29118</v>
      </c>
      <c r="AU34" s="103">
        <f t="shared" si="10"/>
        <v>0.9936190672436294</v>
      </c>
      <c r="AV34" s="71">
        <f>IF(AU34&lt;=1,1,0)</f>
        <v>1</v>
      </c>
      <c r="AW34" s="105"/>
      <c r="AX34" s="106">
        <f t="shared" si="11"/>
        <v>1</v>
      </c>
      <c r="AY34" s="100">
        <f t="shared" si="12"/>
        <v>6.5</v>
      </c>
      <c r="AZ34" s="101"/>
      <c r="BA34" s="75">
        <v>56325.592</v>
      </c>
      <c r="BB34" s="7"/>
      <c r="BC34" s="76">
        <f t="shared" si="13"/>
        <v>0.6160853499902241</v>
      </c>
      <c r="BD34" s="7">
        <f t="shared" si="19"/>
        <v>0</v>
      </c>
      <c r="BE34" s="77">
        <f t="shared" si="20"/>
        <v>0</v>
      </c>
      <c r="BF34" s="77">
        <f t="shared" si="21"/>
        <v>1</v>
      </c>
      <c r="BG34" s="77">
        <f t="shared" si="22"/>
        <v>0</v>
      </c>
      <c r="BH34" s="7">
        <f t="shared" si="23"/>
        <v>0</v>
      </c>
      <c r="BJ34" s="76">
        <f t="shared" si="14"/>
        <v>0.44408386836157493</v>
      </c>
      <c r="BK34" s="7">
        <f t="shared" si="24"/>
        <v>0</v>
      </c>
      <c r="BL34" s="77">
        <f t="shared" si="25"/>
        <v>0</v>
      </c>
      <c r="BM34" s="77">
        <f t="shared" si="26"/>
        <v>1</v>
      </c>
      <c r="BN34" s="77">
        <f t="shared" si="27"/>
        <v>0</v>
      </c>
      <c r="BO34" s="7">
        <f t="shared" si="28"/>
        <v>0</v>
      </c>
    </row>
    <row r="35" spans="1:67" s="8" customFormat="1" ht="15">
      <c r="A35" s="104" t="s">
        <v>98</v>
      </c>
      <c r="B35" s="52">
        <v>0</v>
      </c>
      <c r="C35" s="52">
        <v>22880</v>
      </c>
      <c r="D35" s="52">
        <v>0</v>
      </c>
      <c r="E35" s="60">
        <f t="shared" si="15"/>
        <v>0</v>
      </c>
      <c r="F35" s="98">
        <f>IF(E35&lt;=1.05,1,0)</f>
        <v>1</v>
      </c>
      <c r="G35" s="67"/>
      <c r="H35" s="68">
        <f t="shared" si="0"/>
        <v>1</v>
      </c>
      <c r="I35" s="52">
        <v>0</v>
      </c>
      <c r="J35" s="58">
        <v>371543.88818</v>
      </c>
      <c r="K35" s="59">
        <v>235731.48313</v>
      </c>
      <c r="L35" s="52">
        <v>57739.0276</v>
      </c>
      <c r="M35" s="52">
        <v>0</v>
      </c>
      <c r="N35" s="60">
        <f t="shared" si="30"/>
        <v>0</v>
      </c>
      <c r="O35" s="98">
        <f>IF(N35&lt;=1,1,0)</f>
        <v>1</v>
      </c>
      <c r="P35" s="67"/>
      <c r="Q35" s="68">
        <f t="shared" si="2"/>
        <v>1</v>
      </c>
      <c r="R35" s="99">
        <v>0</v>
      </c>
      <c r="S35" s="99">
        <v>358738.83645999996</v>
      </c>
      <c r="T35" s="62">
        <v>142375.85502000002</v>
      </c>
      <c r="U35" s="60">
        <f t="shared" si="3"/>
        <v>0</v>
      </c>
      <c r="V35" s="98">
        <f>IF(U35&lt;=0.15,1,0)</f>
        <v>1</v>
      </c>
      <c r="W35" s="67"/>
      <c r="X35" s="68">
        <f t="shared" si="16"/>
        <v>1</v>
      </c>
      <c r="Y35" s="52">
        <v>-12805.051720000001</v>
      </c>
      <c r="Z35" s="63">
        <v>0</v>
      </c>
      <c r="AA35" s="63">
        <v>-12805.051720000001</v>
      </c>
      <c r="AB35" s="63"/>
      <c r="AC35" s="64">
        <v>371543.88818</v>
      </c>
      <c r="AD35" s="64">
        <v>235731.48313</v>
      </c>
      <c r="AE35" s="64">
        <v>57739.0276</v>
      </c>
      <c r="AF35" s="63">
        <f t="shared" si="17"/>
        <v>78073.37745</v>
      </c>
      <c r="AG35" s="63">
        <f t="shared" si="45"/>
        <v>3903.6688725000004</v>
      </c>
      <c r="AH35" s="63">
        <f t="shared" si="34"/>
        <v>3903.6688725000004</v>
      </c>
      <c r="AI35" s="103">
        <f t="shared" si="7"/>
        <v>0</v>
      </c>
      <c r="AJ35" s="66">
        <f>IF(AI35&lt;=0.1,1.5,0)</f>
        <v>1.5</v>
      </c>
      <c r="AK35" s="105"/>
      <c r="AL35" s="68">
        <f t="shared" si="8"/>
        <v>1.5</v>
      </c>
      <c r="AM35" s="69">
        <v>10874</v>
      </c>
      <c r="AN35" s="67">
        <v>11047</v>
      </c>
      <c r="AO35" s="102">
        <f t="shared" si="9"/>
        <v>0.9843396397211913</v>
      </c>
      <c r="AP35" s="66">
        <f>IF(AO35&lt;=1,1,0)</f>
        <v>1</v>
      </c>
      <c r="AQ35" s="105"/>
      <c r="AR35" s="106">
        <f t="shared" si="18"/>
        <v>1</v>
      </c>
      <c r="AS35" s="69">
        <v>27841.5</v>
      </c>
      <c r="AT35" s="67">
        <v>28086</v>
      </c>
      <c r="AU35" s="103">
        <f t="shared" si="10"/>
        <v>0.9912945951719718</v>
      </c>
      <c r="AV35" s="66">
        <f>IF(AU35&lt;=1,1,0)</f>
        <v>1</v>
      </c>
      <c r="AW35" s="105"/>
      <c r="AX35" s="106">
        <f t="shared" si="11"/>
        <v>1</v>
      </c>
      <c r="AY35" s="100">
        <f t="shared" si="12"/>
        <v>6.5</v>
      </c>
      <c r="AZ35" s="96"/>
      <c r="BA35" s="75">
        <v>19553.02</v>
      </c>
      <c r="BB35" s="7"/>
      <c r="BC35" s="76">
        <f t="shared" si="13"/>
        <v>0.6593182025719488</v>
      </c>
      <c r="BD35" s="7">
        <f t="shared" si="19"/>
        <v>0</v>
      </c>
      <c r="BE35" s="77">
        <f t="shared" si="20"/>
        <v>0</v>
      </c>
      <c r="BF35" s="77">
        <f t="shared" si="21"/>
        <v>1</v>
      </c>
      <c r="BG35" s="77">
        <f t="shared" si="22"/>
        <v>0</v>
      </c>
      <c r="BH35" s="7">
        <f t="shared" si="23"/>
        <v>0</v>
      </c>
      <c r="BJ35" s="76">
        <f t="shared" si="14"/>
        <v>0.337272378412553</v>
      </c>
      <c r="BK35" s="7">
        <f t="shared" si="24"/>
        <v>0</v>
      </c>
      <c r="BL35" s="77">
        <f t="shared" si="25"/>
        <v>0</v>
      </c>
      <c r="BM35" s="77">
        <f t="shared" si="26"/>
        <v>1</v>
      </c>
      <c r="BN35" s="77">
        <f t="shared" si="27"/>
        <v>0</v>
      </c>
      <c r="BO35" s="7">
        <f t="shared" si="28"/>
        <v>0</v>
      </c>
    </row>
    <row r="36" spans="1:67" s="8" customFormat="1" ht="15">
      <c r="A36" s="78" t="s">
        <v>99</v>
      </c>
      <c r="B36" s="79">
        <v>0</v>
      </c>
      <c r="C36" s="79">
        <v>1819.6</v>
      </c>
      <c r="D36" s="79">
        <v>0</v>
      </c>
      <c r="E36" s="80">
        <f t="shared" si="15"/>
        <v>0</v>
      </c>
      <c r="F36" s="81"/>
      <c r="G36" s="82">
        <f t="shared" si="42"/>
        <v>1</v>
      </c>
      <c r="H36" s="83">
        <f t="shared" si="0"/>
        <v>1</v>
      </c>
      <c r="I36" s="79">
        <v>0</v>
      </c>
      <c r="J36" s="84">
        <v>248077.31797</v>
      </c>
      <c r="K36" s="85">
        <v>168076.61878999998</v>
      </c>
      <c r="L36" s="79">
        <v>45926.411799999994</v>
      </c>
      <c r="M36" s="79">
        <v>0</v>
      </c>
      <c r="N36" s="80">
        <f t="shared" si="30"/>
        <v>0</v>
      </c>
      <c r="O36" s="81"/>
      <c r="P36" s="82">
        <f t="shared" si="44"/>
        <v>1</v>
      </c>
      <c r="Q36" s="83">
        <f t="shared" si="2"/>
        <v>1</v>
      </c>
      <c r="R36" s="86">
        <v>0</v>
      </c>
      <c r="S36" s="86">
        <v>244712.39718</v>
      </c>
      <c r="T36" s="87">
        <v>97975.82198000001</v>
      </c>
      <c r="U36" s="80">
        <f t="shared" si="3"/>
        <v>0</v>
      </c>
      <c r="V36" s="81"/>
      <c r="W36" s="82">
        <f t="shared" si="43"/>
        <v>1</v>
      </c>
      <c r="X36" s="83">
        <f t="shared" si="16"/>
        <v>1</v>
      </c>
      <c r="Y36" s="79">
        <v>-3364.92079</v>
      </c>
      <c r="Z36" s="88">
        <v>0</v>
      </c>
      <c r="AA36" s="88">
        <v>-3364.92079</v>
      </c>
      <c r="AB36" s="88"/>
      <c r="AC36" s="88">
        <v>248077.31797</v>
      </c>
      <c r="AD36" s="88">
        <v>168076.61878999998</v>
      </c>
      <c r="AE36" s="88">
        <v>45926.411799999994</v>
      </c>
      <c r="AF36" s="88">
        <f t="shared" si="17"/>
        <v>34074.28738000003</v>
      </c>
      <c r="AG36" s="88">
        <f t="shared" si="45"/>
        <v>1703.7143690000016</v>
      </c>
      <c r="AH36" s="88">
        <f t="shared" si="34"/>
        <v>1703.7143690000016</v>
      </c>
      <c r="AI36" s="89">
        <f t="shared" si="7"/>
        <v>0</v>
      </c>
      <c r="AJ36" s="81"/>
      <c r="AK36" s="91">
        <f>IF(AI36&lt;=0.05,1.5,0)</f>
        <v>1.5</v>
      </c>
      <c r="AL36" s="83">
        <f t="shared" si="8"/>
        <v>1.5</v>
      </c>
      <c r="AM36" s="92">
        <v>10823.4</v>
      </c>
      <c r="AN36" s="82">
        <v>11794</v>
      </c>
      <c r="AO36" s="93">
        <f t="shared" si="9"/>
        <v>0.9177039172460573</v>
      </c>
      <c r="AP36" s="81"/>
      <c r="AQ36" s="91">
        <f>IF(AO36&lt;=1,1,0)</f>
        <v>1</v>
      </c>
      <c r="AR36" s="94">
        <f t="shared" si="18"/>
        <v>1</v>
      </c>
      <c r="AS36" s="92">
        <v>28945</v>
      </c>
      <c r="AT36" s="82">
        <v>29118</v>
      </c>
      <c r="AU36" s="89">
        <f t="shared" si="10"/>
        <v>0.994058657874854</v>
      </c>
      <c r="AV36" s="81"/>
      <c r="AW36" s="91">
        <f>IF(AU36&lt;=1,1,0)</f>
        <v>1</v>
      </c>
      <c r="AX36" s="94">
        <f t="shared" si="11"/>
        <v>1</v>
      </c>
      <c r="AY36" s="95">
        <f t="shared" si="12"/>
        <v>6.5</v>
      </c>
      <c r="AZ36" s="96"/>
      <c r="BA36" s="75">
        <v>49196.446</v>
      </c>
      <c r="BB36" s="7"/>
      <c r="BC36" s="76">
        <f t="shared" si="13"/>
        <v>0.772991687023092</v>
      </c>
      <c r="BD36" s="7">
        <f t="shared" si="19"/>
        <v>0</v>
      </c>
      <c r="BE36" s="77">
        <f t="shared" si="20"/>
        <v>0</v>
      </c>
      <c r="BF36" s="77">
        <f t="shared" si="21"/>
        <v>0</v>
      </c>
      <c r="BG36" s="77">
        <f t="shared" si="22"/>
        <v>1</v>
      </c>
      <c r="BH36" s="7">
        <f t="shared" si="23"/>
        <v>0</v>
      </c>
      <c r="BJ36" s="76">
        <f t="shared" si="14"/>
        <v>0.6337235826506169</v>
      </c>
      <c r="BK36" s="7">
        <f t="shared" si="24"/>
        <v>0</v>
      </c>
      <c r="BL36" s="77">
        <f t="shared" si="25"/>
        <v>0</v>
      </c>
      <c r="BM36" s="77">
        <f t="shared" si="26"/>
        <v>0</v>
      </c>
      <c r="BN36" s="77">
        <f t="shared" si="27"/>
        <v>1</v>
      </c>
      <c r="BO36" s="7">
        <f t="shared" si="28"/>
        <v>0</v>
      </c>
    </row>
    <row r="37" spans="1:67" s="8" customFormat="1" ht="15">
      <c r="A37" s="78" t="s">
        <v>100</v>
      </c>
      <c r="B37" s="79">
        <v>0</v>
      </c>
      <c r="C37" s="79">
        <v>886.5</v>
      </c>
      <c r="D37" s="79">
        <v>0</v>
      </c>
      <c r="E37" s="80">
        <f t="shared" si="15"/>
        <v>0</v>
      </c>
      <c r="F37" s="81"/>
      <c r="G37" s="82">
        <f t="shared" si="42"/>
        <v>1</v>
      </c>
      <c r="H37" s="83">
        <f t="shared" si="0"/>
        <v>1</v>
      </c>
      <c r="I37" s="79">
        <v>0</v>
      </c>
      <c r="J37" s="84">
        <v>400263.71841000003</v>
      </c>
      <c r="K37" s="85">
        <v>300568.65549000003</v>
      </c>
      <c r="L37" s="79">
        <v>58538.02268</v>
      </c>
      <c r="M37" s="79">
        <v>0</v>
      </c>
      <c r="N37" s="80">
        <f t="shared" si="30"/>
        <v>0</v>
      </c>
      <c r="O37" s="81"/>
      <c r="P37" s="82">
        <f t="shared" si="44"/>
        <v>1</v>
      </c>
      <c r="Q37" s="83">
        <f t="shared" si="2"/>
        <v>1</v>
      </c>
      <c r="R37" s="86">
        <v>0</v>
      </c>
      <c r="S37" s="86">
        <v>398879.89564999996</v>
      </c>
      <c r="T37" s="87">
        <v>172468.64881</v>
      </c>
      <c r="U37" s="80">
        <f t="shared" si="3"/>
        <v>0</v>
      </c>
      <c r="V37" s="81"/>
      <c r="W37" s="82">
        <f t="shared" si="43"/>
        <v>1</v>
      </c>
      <c r="X37" s="83">
        <f t="shared" si="16"/>
        <v>1</v>
      </c>
      <c r="Y37" s="79">
        <v>-1383.82276</v>
      </c>
      <c r="Z37" s="88">
        <v>0</v>
      </c>
      <c r="AA37" s="88">
        <v>-1383.82276</v>
      </c>
      <c r="AB37" s="88"/>
      <c r="AC37" s="88">
        <v>400263.71841000003</v>
      </c>
      <c r="AD37" s="88">
        <v>300568.65549000003</v>
      </c>
      <c r="AE37" s="88">
        <v>58538.02268</v>
      </c>
      <c r="AF37" s="88">
        <f t="shared" si="17"/>
        <v>41157.040239999995</v>
      </c>
      <c r="AG37" s="88">
        <f t="shared" si="45"/>
        <v>2057.852012</v>
      </c>
      <c r="AH37" s="88">
        <f t="shared" si="34"/>
        <v>2057.852012</v>
      </c>
      <c r="AI37" s="89">
        <f t="shared" si="7"/>
        <v>0</v>
      </c>
      <c r="AJ37" s="81"/>
      <c r="AK37" s="91">
        <f>IF(AI37&lt;=0.05,1.5,0)</f>
        <v>1.5</v>
      </c>
      <c r="AL37" s="83">
        <f t="shared" si="8"/>
        <v>1.5</v>
      </c>
      <c r="AM37" s="92">
        <v>13289.9</v>
      </c>
      <c r="AN37" s="82">
        <v>13953</v>
      </c>
      <c r="AO37" s="93">
        <f t="shared" si="9"/>
        <v>0.9524761699992833</v>
      </c>
      <c r="AP37" s="81"/>
      <c r="AQ37" s="91">
        <f>IF(AO37&lt;=1,1,0)</f>
        <v>1</v>
      </c>
      <c r="AR37" s="94">
        <f t="shared" si="18"/>
        <v>1</v>
      </c>
      <c r="AS37" s="92">
        <v>33036.4</v>
      </c>
      <c r="AT37" s="82">
        <v>33128</v>
      </c>
      <c r="AU37" s="89">
        <f t="shared" si="10"/>
        <v>0.9972349673991789</v>
      </c>
      <c r="AV37" s="81"/>
      <c r="AW37" s="91">
        <f>IF(AU37&lt;=1,1,0)</f>
        <v>1</v>
      </c>
      <c r="AX37" s="94">
        <f t="shared" si="11"/>
        <v>1</v>
      </c>
      <c r="AY37" s="95">
        <f t="shared" si="12"/>
        <v>6.5</v>
      </c>
      <c r="AZ37" s="96"/>
      <c r="BA37" s="75">
        <v>44642.803</v>
      </c>
      <c r="BB37" s="7"/>
      <c r="BC37" s="76">
        <f t="shared" si="13"/>
        <v>0.8193242710991494</v>
      </c>
      <c r="BD37" s="7">
        <f t="shared" si="19"/>
        <v>0</v>
      </c>
      <c r="BE37" s="77">
        <f t="shared" si="20"/>
        <v>0</v>
      </c>
      <c r="BF37" s="77">
        <f t="shared" si="21"/>
        <v>0</v>
      </c>
      <c r="BG37" s="77">
        <f t="shared" si="22"/>
        <v>1</v>
      </c>
      <c r="BH37" s="7">
        <f t="shared" si="23"/>
        <v>0</v>
      </c>
      <c r="BJ37" s="76">
        <f t="shared" si="14"/>
        <v>0.4529546045978161</v>
      </c>
      <c r="BK37" s="7">
        <f t="shared" si="24"/>
        <v>0</v>
      </c>
      <c r="BL37" s="77">
        <f t="shared" si="25"/>
        <v>0</v>
      </c>
      <c r="BM37" s="77">
        <f t="shared" si="26"/>
        <v>1</v>
      </c>
      <c r="BN37" s="77">
        <f t="shared" si="27"/>
        <v>0</v>
      </c>
      <c r="BO37" s="7">
        <f t="shared" si="28"/>
        <v>0</v>
      </c>
    </row>
    <row r="38" spans="1:67" ht="15">
      <c r="A38" s="78" t="s">
        <v>101</v>
      </c>
      <c r="B38" s="79">
        <v>5000</v>
      </c>
      <c r="C38" s="79">
        <v>4617.3</v>
      </c>
      <c r="D38" s="79">
        <v>2250</v>
      </c>
      <c r="E38" s="80">
        <f t="shared" si="15"/>
        <v>0.7280881860410933</v>
      </c>
      <c r="F38" s="81"/>
      <c r="G38" s="82">
        <f t="shared" si="42"/>
        <v>1</v>
      </c>
      <c r="H38" s="83">
        <f>F38+G38</f>
        <v>1</v>
      </c>
      <c r="I38" s="79">
        <v>5000</v>
      </c>
      <c r="J38" s="84">
        <v>435282.62746</v>
      </c>
      <c r="K38" s="85">
        <v>314533.35634</v>
      </c>
      <c r="L38" s="79">
        <v>61882.31928</v>
      </c>
      <c r="M38" s="79">
        <v>0</v>
      </c>
      <c r="N38" s="80">
        <f t="shared" si="30"/>
        <v>0.08493730087452071</v>
      </c>
      <c r="O38" s="81"/>
      <c r="P38" s="82">
        <f t="shared" si="44"/>
        <v>1</v>
      </c>
      <c r="Q38" s="83">
        <f>O38+P38</f>
        <v>1</v>
      </c>
      <c r="R38" s="86">
        <v>184.8</v>
      </c>
      <c r="S38" s="86">
        <v>436470.97294</v>
      </c>
      <c r="T38" s="87">
        <v>172750.22884</v>
      </c>
      <c r="U38" s="80">
        <f t="shared" si="3"/>
        <v>0.0007007412353194555</v>
      </c>
      <c r="V38" s="81"/>
      <c r="W38" s="82">
        <f t="shared" si="43"/>
        <v>1</v>
      </c>
      <c r="X38" s="83">
        <f t="shared" si="16"/>
        <v>1</v>
      </c>
      <c r="Y38" s="79">
        <v>1188.34548</v>
      </c>
      <c r="Z38" s="88">
        <v>0</v>
      </c>
      <c r="AA38" s="88">
        <v>-1561.65452</v>
      </c>
      <c r="AB38" s="88"/>
      <c r="AC38" s="88">
        <v>435282.62746</v>
      </c>
      <c r="AD38" s="88">
        <v>314533.35634</v>
      </c>
      <c r="AE38" s="88">
        <v>61882.31928</v>
      </c>
      <c r="AF38" s="88">
        <f t="shared" si="17"/>
        <v>58866.95183999999</v>
      </c>
      <c r="AG38" s="88">
        <f t="shared" si="45"/>
        <v>2943.3475919999996</v>
      </c>
      <c r="AH38" s="88">
        <f t="shared" si="34"/>
        <v>2943.3475919999996</v>
      </c>
      <c r="AI38" s="89">
        <f t="shared" si="7"/>
        <v>0.020186971515527348</v>
      </c>
      <c r="AJ38" s="90"/>
      <c r="AK38" s="91">
        <f>IF(AI38&lt;=0.05,1.5,0)</f>
        <v>1.5</v>
      </c>
      <c r="AL38" s="83">
        <f t="shared" si="8"/>
        <v>1.5</v>
      </c>
      <c r="AM38" s="92">
        <v>16894</v>
      </c>
      <c r="AN38" s="82">
        <v>16894</v>
      </c>
      <c r="AO38" s="93">
        <f t="shared" si="9"/>
        <v>1</v>
      </c>
      <c r="AP38" s="90"/>
      <c r="AQ38" s="91">
        <f>IF(AO38&lt;=1,1,0)</f>
        <v>1</v>
      </c>
      <c r="AR38" s="94">
        <f>AP38+AQ38</f>
        <v>1</v>
      </c>
      <c r="AS38" s="92">
        <v>35620.5</v>
      </c>
      <c r="AT38" s="82">
        <v>38668</v>
      </c>
      <c r="AU38" s="89">
        <f t="shared" si="10"/>
        <v>0.9211880624806041</v>
      </c>
      <c r="AV38" s="90"/>
      <c r="AW38" s="91">
        <f>IF(AU38&lt;=1,1,0)</f>
        <v>1</v>
      </c>
      <c r="AX38" s="94">
        <f t="shared" si="11"/>
        <v>1</v>
      </c>
      <c r="AY38" s="95">
        <f t="shared" si="12"/>
        <v>6.5</v>
      </c>
      <c r="AZ38" s="96"/>
      <c r="BA38" s="75">
        <v>76667.68096</v>
      </c>
      <c r="BC38" s="76">
        <f t="shared" si="13"/>
        <v>0.7757726202577899</v>
      </c>
      <c r="BD38" s="7">
        <f t="shared" si="19"/>
        <v>0</v>
      </c>
      <c r="BE38" s="77">
        <f t="shared" si="20"/>
        <v>0</v>
      </c>
      <c r="BF38" s="77">
        <f t="shared" si="21"/>
        <v>0</v>
      </c>
      <c r="BG38" s="77">
        <f t="shared" si="22"/>
        <v>1</v>
      </c>
      <c r="BH38" s="7">
        <f t="shared" si="23"/>
        <v>0</v>
      </c>
      <c r="BJ38" s="76">
        <f t="shared" si="14"/>
        <v>0.5277443887622528</v>
      </c>
      <c r="BK38" s="7">
        <f t="shared" si="24"/>
        <v>0</v>
      </c>
      <c r="BL38" s="77">
        <f t="shared" si="25"/>
        <v>0</v>
      </c>
      <c r="BM38" s="77">
        <f t="shared" si="26"/>
        <v>0</v>
      </c>
      <c r="BN38" s="77">
        <f t="shared" si="27"/>
        <v>1</v>
      </c>
      <c r="BO38" s="7">
        <f t="shared" si="28"/>
        <v>0</v>
      </c>
    </row>
    <row r="39" spans="1:67" ht="15">
      <c r="A39" s="78" t="s">
        <v>102</v>
      </c>
      <c r="B39" s="79">
        <v>0</v>
      </c>
      <c r="C39" s="79">
        <v>16478.3</v>
      </c>
      <c r="D39" s="79">
        <v>0</v>
      </c>
      <c r="E39" s="80">
        <f t="shared" si="15"/>
        <v>0</v>
      </c>
      <c r="F39" s="81"/>
      <c r="G39" s="82">
        <f>IF(E39&lt;=1.05,1,0)</f>
        <v>1</v>
      </c>
      <c r="H39" s="83">
        <f t="shared" si="0"/>
        <v>1</v>
      </c>
      <c r="I39" s="79">
        <v>0</v>
      </c>
      <c r="J39" s="84">
        <v>511312.67473</v>
      </c>
      <c r="K39" s="85">
        <v>331430.92223</v>
      </c>
      <c r="L39" s="79">
        <v>100534.0032</v>
      </c>
      <c r="M39" s="79">
        <v>0</v>
      </c>
      <c r="N39" s="80">
        <f t="shared" si="30"/>
        <v>0</v>
      </c>
      <c r="O39" s="81"/>
      <c r="P39" s="82">
        <f>IF(N39&lt;=0.5,1,0)</f>
        <v>1</v>
      </c>
      <c r="Q39" s="83">
        <f t="shared" si="2"/>
        <v>1</v>
      </c>
      <c r="R39" s="86">
        <v>0</v>
      </c>
      <c r="S39" s="86">
        <v>517683.14416</v>
      </c>
      <c r="T39" s="87">
        <v>237033.1393</v>
      </c>
      <c r="U39" s="80">
        <f t="shared" si="3"/>
        <v>0</v>
      </c>
      <c r="V39" s="81"/>
      <c r="W39" s="82">
        <f>IF(U39&lt;=0.15,1,0)</f>
        <v>1</v>
      </c>
      <c r="X39" s="83">
        <f t="shared" si="16"/>
        <v>1</v>
      </c>
      <c r="Y39" s="79">
        <v>6370.46943</v>
      </c>
      <c r="Z39" s="88">
        <v>0</v>
      </c>
      <c r="AA39" s="88">
        <v>6370.46943</v>
      </c>
      <c r="AB39" s="88"/>
      <c r="AC39" s="88">
        <v>511312.67473</v>
      </c>
      <c r="AD39" s="88">
        <v>331430.92223</v>
      </c>
      <c r="AE39" s="88">
        <v>100534.0032</v>
      </c>
      <c r="AF39" s="88">
        <f t="shared" si="17"/>
        <v>79347.7493</v>
      </c>
      <c r="AG39" s="88">
        <f>AF39*10%</f>
        <v>7934.77493</v>
      </c>
      <c r="AH39" s="88">
        <f t="shared" si="34"/>
        <v>14305.24436</v>
      </c>
      <c r="AI39" s="89">
        <f t="shared" si="7"/>
        <v>0</v>
      </c>
      <c r="AJ39" s="81"/>
      <c r="AK39" s="91">
        <f>IF(AI39&lt;=0.05,1.5,0)</f>
        <v>1.5</v>
      </c>
      <c r="AL39" s="83">
        <f t="shared" si="8"/>
        <v>1.5</v>
      </c>
      <c r="AM39" s="92">
        <v>16894</v>
      </c>
      <c r="AN39" s="82">
        <v>16894</v>
      </c>
      <c r="AO39" s="93">
        <f t="shared" si="9"/>
        <v>1</v>
      </c>
      <c r="AP39" s="81"/>
      <c r="AQ39" s="91">
        <f>IF(AO39&lt;=1,1,0)</f>
        <v>1</v>
      </c>
      <c r="AR39" s="94">
        <f>AP39+AQ39</f>
        <v>1</v>
      </c>
      <c r="AS39" s="92">
        <v>38265.6</v>
      </c>
      <c r="AT39" s="82">
        <v>38668</v>
      </c>
      <c r="AU39" s="89">
        <f t="shared" si="10"/>
        <v>0.9895934622944036</v>
      </c>
      <c r="AV39" s="81"/>
      <c r="AW39" s="91">
        <f>IF(AU39&lt;=1,1,0)</f>
        <v>1</v>
      </c>
      <c r="AX39" s="94">
        <f t="shared" si="11"/>
        <v>1</v>
      </c>
      <c r="AY39" s="95">
        <f t="shared" si="12"/>
        <v>6.5</v>
      </c>
      <c r="AZ39" s="74"/>
      <c r="BA39" s="75">
        <v>34090.917</v>
      </c>
      <c r="BC39" s="76">
        <f t="shared" si="13"/>
        <v>0.7107048137018205</v>
      </c>
      <c r="BD39" s="7">
        <f t="shared" si="19"/>
        <v>0</v>
      </c>
      <c r="BE39" s="77">
        <f t="shared" si="20"/>
        <v>0</v>
      </c>
      <c r="BF39" s="77">
        <f t="shared" si="21"/>
        <v>0</v>
      </c>
      <c r="BG39" s="77">
        <f t="shared" si="22"/>
        <v>1</v>
      </c>
      <c r="BH39" s="7">
        <f t="shared" si="23"/>
        <v>0</v>
      </c>
      <c r="BJ39" s="76">
        <f t="shared" si="14"/>
        <v>0.49083107855255265</v>
      </c>
      <c r="BK39" s="7">
        <f t="shared" si="24"/>
        <v>0</v>
      </c>
      <c r="BL39" s="77">
        <f t="shared" si="25"/>
        <v>0</v>
      </c>
      <c r="BM39" s="77">
        <f t="shared" si="26"/>
        <v>1</v>
      </c>
      <c r="BN39" s="77">
        <f t="shared" si="27"/>
        <v>0</v>
      </c>
      <c r="BO39" s="7">
        <f t="shared" si="28"/>
        <v>0</v>
      </c>
    </row>
    <row r="40" spans="1:67" ht="15">
      <c r="A40" s="97" t="s">
        <v>103</v>
      </c>
      <c r="B40" s="107">
        <v>16445.5</v>
      </c>
      <c r="C40" s="107">
        <v>-9819.4</v>
      </c>
      <c r="D40" s="107">
        <v>28956.5</v>
      </c>
      <c r="E40" s="60">
        <f t="shared" si="15"/>
        <v>0.5679381140676532</v>
      </c>
      <c r="F40" s="54">
        <f>IF(E40&lt;=1.05,1,0)</f>
        <v>1</v>
      </c>
      <c r="G40" s="55"/>
      <c r="H40" s="56">
        <f t="shared" si="0"/>
        <v>1</v>
      </c>
      <c r="I40" s="107">
        <v>21356.5</v>
      </c>
      <c r="J40" s="108">
        <v>207623.62103</v>
      </c>
      <c r="K40" s="59">
        <v>136706.05182</v>
      </c>
      <c r="L40" s="107">
        <v>28298.28016</v>
      </c>
      <c r="M40" s="107">
        <v>4956.5</v>
      </c>
      <c r="N40" s="60">
        <f t="shared" si="30"/>
        <v>0.3848022894225166</v>
      </c>
      <c r="O40" s="54">
        <f>IF(N40&lt;=1,1,0)</f>
        <v>1</v>
      </c>
      <c r="P40" s="55"/>
      <c r="Q40" s="56">
        <f t="shared" si="2"/>
        <v>1</v>
      </c>
      <c r="R40" s="109">
        <v>2568.1</v>
      </c>
      <c r="S40" s="109">
        <v>197032.26515</v>
      </c>
      <c r="T40" s="62">
        <v>70640.04258</v>
      </c>
      <c r="U40" s="53">
        <f t="shared" si="3"/>
        <v>0.020318497038674235</v>
      </c>
      <c r="V40" s="54">
        <f>IF(U40&lt;=0.15,1,0)</f>
        <v>1</v>
      </c>
      <c r="W40" s="55"/>
      <c r="X40" s="56">
        <f t="shared" si="16"/>
        <v>1</v>
      </c>
      <c r="Y40" s="107">
        <v>-10591.355880000001</v>
      </c>
      <c r="Z40" s="64">
        <v>0</v>
      </c>
      <c r="AA40" s="64">
        <v>1965.1441200000002</v>
      </c>
      <c r="AB40" s="64"/>
      <c r="AC40" s="64">
        <v>207623.62103</v>
      </c>
      <c r="AD40" s="64">
        <v>136706.05182</v>
      </c>
      <c r="AE40" s="64">
        <v>28298.28016</v>
      </c>
      <c r="AF40" s="64">
        <f t="shared" si="17"/>
        <v>42619.28905000002</v>
      </c>
      <c r="AG40" s="64">
        <f>AF40*10%</f>
        <v>4261.9289050000025</v>
      </c>
      <c r="AH40" s="64">
        <f t="shared" si="34"/>
        <v>6227.073025000002</v>
      </c>
      <c r="AI40" s="110">
        <f t="shared" si="7"/>
        <v>0</v>
      </c>
      <c r="AJ40" s="66">
        <f>IF(AI40&lt;=0.1,1.5,0)</f>
        <v>1.5</v>
      </c>
      <c r="AK40" s="55"/>
      <c r="AL40" s="56">
        <f t="shared" si="8"/>
        <v>1.5</v>
      </c>
      <c r="AM40" s="111">
        <v>7019.1</v>
      </c>
      <c r="AN40" s="55">
        <v>9094</v>
      </c>
      <c r="AO40" s="70">
        <f t="shared" si="9"/>
        <v>0.7718385748845393</v>
      </c>
      <c r="AP40" s="71">
        <f>IF(AO40&lt;=1,1,0)</f>
        <v>1</v>
      </c>
      <c r="AQ40" s="55"/>
      <c r="AR40" s="72">
        <f t="shared" si="18"/>
        <v>1</v>
      </c>
      <c r="AS40" s="111">
        <v>19470.7</v>
      </c>
      <c r="AT40" s="55">
        <v>22028</v>
      </c>
      <c r="AU40" s="65">
        <f t="shared" si="10"/>
        <v>0.8839068458325767</v>
      </c>
      <c r="AV40" s="71">
        <f>IF(AU40&lt;=1,1,0)</f>
        <v>1</v>
      </c>
      <c r="AW40" s="55"/>
      <c r="AX40" s="72">
        <f t="shared" si="11"/>
        <v>1</v>
      </c>
      <c r="AY40" s="112">
        <f t="shared" si="12"/>
        <v>6.5</v>
      </c>
      <c r="AZ40" s="113"/>
      <c r="BA40" s="75">
        <v>27677.721</v>
      </c>
      <c r="BC40" s="76">
        <f t="shared" si="13"/>
        <v>0.6888730055657264</v>
      </c>
      <c r="BD40" s="7">
        <f t="shared" si="19"/>
        <v>0</v>
      </c>
      <c r="BE40" s="77">
        <f t="shared" si="20"/>
        <v>0</v>
      </c>
      <c r="BF40" s="77">
        <f t="shared" si="21"/>
        <v>1</v>
      </c>
      <c r="BG40" s="77">
        <f t="shared" si="22"/>
        <v>0</v>
      </c>
      <c r="BH40" s="7">
        <f t="shared" si="23"/>
        <v>0</v>
      </c>
      <c r="BJ40" s="76">
        <f t="shared" si="14"/>
        <v>0.40863293099348863</v>
      </c>
      <c r="BK40" s="7">
        <f t="shared" si="24"/>
        <v>0</v>
      </c>
      <c r="BL40" s="77">
        <f t="shared" si="25"/>
        <v>0</v>
      </c>
      <c r="BM40" s="77">
        <f t="shared" si="26"/>
        <v>1</v>
      </c>
      <c r="BN40" s="77">
        <f t="shared" si="27"/>
        <v>0</v>
      </c>
      <c r="BO40" s="7">
        <f t="shared" si="28"/>
        <v>0</v>
      </c>
    </row>
    <row r="41" spans="1:67" ht="15.75" thickBot="1">
      <c r="A41" s="97" t="s">
        <v>104</v>
      </c>
      <c r="B41" s="107">
        <v>11963.6</v>
      </c>
      <c r="C41" s="107">
        <v>4989.3</v>
      </c>
      <c r="D41" s="107">
        <v>8463.6</v>
      </c>
      <c r="E41" s="53">
        <f t="shared" si="15"/>
        <v>0.889295244891436</v>
      </c>
      <c r="F41" s="54">
        <f>IF(E41&lt;=1.05,1,0)</f>
        <v>1</v>
      </c>
      <c r="G41" s="55"/>
      <c r="H41" s="56">
        <f t="shared" si="0"/>
        <v>1</v>
      </c>
      <c r="I41" s="107">
        <v>28963.6</v>
      </c>
      <c r="J41" s="108">
        <v>565511.91417</v>
      </c>
      <c r="K41" s="59">
        <v>453510.10222</v>
      </c>
      <c r="L41" s="107">
        <v>30695.815440000002</v>
      </c>
      <c r="M41" s="107">
        <v>1463.59</v>
      </c>
      <c r="N41" s="53">
        <f>(I41-M41)/(J41-K41-L41)</f>
        <v>0.33822855853710265</v>
      </c>
      <c r="O41" s="54">
        <f>IF(N41&lt;=1,1,0)</f>
        <v>1</v>
      </c>
      <c r="P41" s="55"/>
      <c r="Q41" s="56">
        <f t="shared" si="2"/>
        <v>1</v>
      </c>
      <c r="R41" s="114">
        <v>3766.4</v>
      </c>
      <c r="S41" s="114">
        <v>564919.092</v>
      </c>
      <c r="T41" s="62">
        <v>108261.87178</v>
      </c>
      <c r="U41" s="53">
        <f t="shared" si="3"/>
        <v>0.00824776185118784</v>
      </c>
      <c r="V41" s="54">
        <f>IF(U41&lt;=0.15,1,0)</f>
        <v>1</v>
      </c>
      <c r="W41" s="55"/>
      <c r="X41" s="56">
        <f t="shared" si="16"/>
        <v>1</v>
      </c>
      <c r="Y41" s="107">
        <v>-592.82217</v>
      </c>
      <c r="Z41" s="64">
        <v>0</v>
      </c>
      <c r="AA41" s="64">
        <v>870.76783</v>
      </c>
      <c r="AB41" s="64"/>
      <c r="AC41" s="64">
        <v>565511.91417</v>
      </c>
      <c r="AD41" s="64">
        <v>453510.10222</v>
      </c>
      <c r="AE41" s="64">
        <v>30695.815440000002</v>
      </c>
      <c r="AF41" s="64">
        <f t="shared" si="17"/>
        <v>81305.99651</v>
      </c>
      <c r="AG41" s="64">
        <f>AF41*10%</f>
        <v>8130.599651</v>
      </c>
      <c r="AH41" s="64">
        <f t="shared" si="34"/>
        <v>9001.367481000001</v>
      </c>
      <c r="AI41" s="103">
        <f t="shared" si="7"/>
        <v>0</v>
      </c>
      <c r="AJ41" s="66">
        <f>IF(AI41&lt;=0.1,1.5,0)</f>
        <v>1.5</v>
      </c>
      <c r="AK41" s="55"/>
      <c r="AL41" s="56">
        <f t="shared" si="8"/>
        <v>1.5</v>
      </c>
      <c r="AM41" s="111">
        <v>7324.6</v>
      </c>
      <c r="AN41" s="55">
        <v>9094</v>
      </c>
      <c r="AO41" s="70">
        <f t="shared" si="9"/>
        <v>0.8054321530679569</v>
      </c>
      <c r="AP41" s="71">
        <f>IF(AO41&lt;=1,1,0)</f>
        <v>1</v>
      </c>
      <c r="AQ41" s="55"/>
      <c r="AR41" s="72">
        <f t="shared" si="18"/>
        <v>1</v>
      </c>
      <c r="AS41" s="111">
        <v>19808.8</v>
      </c>
      <c r="AT41" s="55">
        <v>19865</v>
      </c>
      <c r="AU41" s="65">
        <f t="shared" si="10"/>
        <v>0.9971709035992952</v>
      </c>
      <c r="AV41" s="71">
        <f>IF(AU41&lt;=1,1,0)</f>
        <v>1</v>
      </c>
      <c r="AW41" s="55"/>
      <c r="AX41" s="72">
        <f t="shared" si="11"/>
        <v>1</v>
      </c>
      <c r="AY41" s="100">
        <f t="shared" si="12"/>
        <v>6.5</v>
      </c>
      <c r="AZ41" s="101"/>
      <c r="BA41" s="75">
        <v>5782.711</v>
      </c>
      <c r="BC41" s="76">
        <f t="shared" si="13"/>
        <v>0.8221848245545877</v>
      </c>
      <c r="BD41" s="7">
        <f t="shared" si="19"/>
        <v>0</v>
      </c>
      <c r="BE41" s="77">
        <f t="shared" si="20"/>
        <v>0</v>
      </c>
      <c r="BF41" s="77">
        <f t="shared" si="21"/>
        <v>0</v>
      </c>
      <c r="BG41" s="77">
        <f t="shared" si="22"/>
        <v>1</v>
      </c>
      <c r="BH41" s="7">
        <f t="shared" si="23"/>
        <v>0</v>
      </c>
      <c r="BJ41" s="76">
        <f t="shared" si="14"/>
        <v>0.07977807120439051</v>
      </c>
      <c r="BK41" s="7">
        <f t="shared" si="24"/>
        <v>0</v>
      </c>
      <c r="BL41" s="77">
        <f t="shared" si="25"/>
        <v>1</v>
      </c>
      <c r="BM41" s="77">
        <f t="shared" si="26"/>
        <v>0</v>
      </c>
      <c r="BN41" s="77">
        <f t="shared" si="27"/>
        <v>0</v>
      </c>
      <c r="BO41" s="7">
        <f t="shared" si="28"/>
        <v>0</v>
      </c>
    </row>
    <row r="42" spans="1:67" ht="16.5" thickBot="1" thickTop="1">
      <c r="A42" s="115" t="s">
        <v>105</v>
      </c>
      <c r="B42" s="116">
        <f>SUM(B9:B41)</f>
        <v>2186903.4</v>
      </c>
      <c r="C42" s="116">
        <f>SUM(C9:C41)</f>
        <v>264733.60000000003</v>
      </c>
      <c r="D42" s="116">
        <f>SUM(D9:D41)</f>
        <v>2207422.6</v>
      </c>
      <c r="E42" s="117"/>
      <c r="F42" s="117"/>
      <c r="G42" s="117"/>
      <c r="H42" s="118"/>
      <c r="I42" s="119">
        <f>SUM(I9:I41)</f>
        <v>2606069</v>
      </c>
      <c r="J42" s="119">
        <f>SUM(J9:J41)</f>
        <v>20935513.74117</v>
      </c>
      <c r="K42" s="119">
        <f>SUM(K9:K41)</f>
        <v>14231030.622140002</v>
      </c>
      <c r="L42" s="119">
        <f>SUM(L9:L41)</f>
        <v>1990676.6546200002</v>
      </c>
      <c r="M42" s="119">
        <f>SUM(M9:M41)</f>
        <v>25694.59</v>
      </c>
      <c r="N42" s="117"/>
      <c r="O42" s="117"/>
      <c r="P42" s="117"/>
      <c r="Q42" s="118"/>
      <c r="R42" s="120">
        <f>SUM(R9:R41)</f>
        <v>279174</v>
      </c>
      <c r="S42" s="119">
        <f>SUM(S9:S41)</f>
        <v>20544550.61469</v>
      </c>
      <c r="T42" s="119">
        <f>SUM(T9:T41)</f>
        <v>7540827.517589999</v>
      </c>
      <c r="U42" s="117"/>
      <c r="V42" s="117"/>
      <c r="W42" s="117"/>
      <c r="X42" s="118"/>
      <c r="Y42" s="121">
        <f aca="true" t="shared" si="46" ref="Y42:AE42">SUM(Y9:Y41)</f>
        <v>-390963.12648</v>
      </c>
      <c r="Z42" s="120">
        <f t="shared" si="46"/>
        <v>5580.8</v>
      </c>
      <c r="AA42" s="120">
        <f t="shared" si="46"/>
        <v>-330880.33647999994</v>
      </c>
      <c r="AB42" s="122">
        <f t="shared" si="46"/>
        <v>0</v>
      </c>
      <c r="AC42" s="120">
        <f t="shared" si="46"/>
        <v>20935513.74117</v>
      </c>
      <c r="AD42" s="120">
        <f t="shared" si="46"/>
        <v>14231030.622140002</v>
      </c>
      <c r="AE42" s="120">
        <f t="shared" si="46"/>
        <v>1990676.6546200002</v>
      </c>
      <c r="AF42" s="123"/>
      <c r="AG42" s="123"/>
      <c r="AH42" s="123"/>
      <c r="AI42" s="117"/>
      <c r="AJ42" s="117"/>
      <c r="AK42" s="117"/>
      <c r="AL42" s="117"/>
      <c r="AM42" s="122">
        <f>SUM(AM9:AM41)</f>
        <v>627063.7</v>
      </c>
      <c r="AN42" s="122">
        <f>SUM(AN9:AN41)</f>
        <v>666869</v>
      </c>
      <c r="AO42" s="117"/>
      <c r="AP42" s="117"/>
      <c r="AQ42" s="117"/>
      <c r="AR42" s="117"/>
      <c r="AS42" s="122">
        <f>SUM(AS9:AS41)</f>
        <v>1404334.50268</v>
      </c>
      <c r="AT42" s="122">
        <f>SUM(AT9:AT41)</f>
        <v>1465553</v>
      </c>
      <c r="AU42" s="117"/>
      <c r="AV42" s="117"/>
      <c r="AW42" s="117"/>
      <c r="AX42" s="117"/>
      <c r="AY42" s="124"/>
      <c r="AZ42" s="125"/>
      <c r="BA42" s="1"/>
      <c r="BC42" s="126"/>
      <c r="BD42" s="127">
        <f>SUM(BD9:BD41)</f>
        <v>0</v>
      </c>
      <c r="BE42" s="127">
        <f>SUM(BE9:BE41)</f>
        <v>0</v>
      </c>
      <c r="BF42" s="127">
        <f>SUM(BF9:BF41)</f>
        <v>9</v>
      </c>
      <c r="BG42" s="127">
        <f>SUM(BG9:BG41)</f>
        <v>23</v>
      </c>
      <c r="BH42" s="127">
        <f>SUM(BH9:BH41)</f>
        <v>1</v>
      </c>
      <c r="BJ42" s="126"/>
      <c r="BK42" s="127">
        <f>SUM(BK9:BK41)</f>
        <v>0</v>
      </c>
      <c r="BL42" s="127">
        <f>SUM(BL9:BL41)</f>
        <v>2</v>
      </c>
      <c r="BM42" s="127">
        <f>SUM(BM9:BM41)</f>
        <v>18</v>
      </c>
      <c r="BN42" s="127">
        <f>SUM(BN9:BN41)</f>
        <v>13</v>
      </c>
      <c r="BO42" s="127">
        <f>SUM(BO9:BO41)</f>
        <v>0</v>
      </c>
    </row>
    <row r="43" spans="53:67" ht="15.75" thickTop="1">
      <c r="BA43" s="1"/>
      <c r="BC43" s="7" t="s">
        <v>106</v>
      </c>
      <c r="BD43" s="7">
        <f>BD9+BD11+BD12+BD13+BD40+BD41</f>
        <v>0</v>
      </c>
      <c r="BE43" s="7">
        <f>BE9+BE11+BE12+BE13+BE40+BE41</f>
        <v>0</v>
      </c>
      <c r="BF43" s="7">
        <f>BF9+BF11+BF12+BF13+BF40+BF41</f>
        <v>5</v>
      </c>
      <c r="BG43" s="7">
        <f>BG9+BG11+BG12+BG13+BG40+BG41</f>
        <v>1</v>
      </c>
      <c r="BH43" s="7">
        <f>BH9+BH11+BH12+BH13+BH40+BH41</f>
        <v>0</v>
      </c>
      <c r="BJ43" s="7" t="s">
        <v>106</v>
      </c>
      <c r="BK43" s="7">
        <f>BK9+BK11+BK12+BK13+BK40+BK41</f>
        <v>0</v>
      </c>
      <c r="BL43" s="7">
        <f>BL9+BL11+BL12+BL13+BL40+BL41</f>
        <v>2</v>
      </c>
      <c r="BM43" s="7">
        <f>BM9+BM11+BM12+BM13+BM40+BM41</f>
        <v>4</v>
      </c>
      <c r="BN43" s="7">
        <f>BN9+BN11+BN12+BN13+BN40+BN41</f>
        <v>0</v>
      </c>
      <c r="BO43" s="7">
        <f>BO9+BO11+BO12+BO13+BO40+BO41</f>
        <v>0</v>
      </c>
    </row>
    <row r="44" spans="12:67" ht="15" hidden="1">
      <c r="L44" s="9">
        <f>L9+L11+L12+L13+L40+L41</f>
        <v>424486.47773</v>
      </c>
      <c r="BC44" s="7" t="s">
        <v>107</v>
      </c>
      <c r="BD44" s="7">
        <f>BD42-BD43</f>
        <v>0</v>
      </c>
      <c r="BE44" s="7">
        <f>BE42-BE43</f>
        <v>0</v>
      </c>
      <c r="BF44" s="7">
        <f>BF42-BF43</f>
        <v>4</v>
      </c>
      <c r="BG44" s="7">
        <f>BG42-BG43</f>
        <v>22</v>
      </c>
      <c r="BH44" s="7">
        <f>BH42-BH43</f>
        <v>1</v>
      </c>
      <c r="BJ44" s="7" t="s">
        <v>107</v>
      </c>
      <c r="BK44" s="7">
        <f>BK42-BK43</f>
        <v>0</v>
      </c>
      <c r="BL44" s="7">
        <f>BL42-BL43</f>
        <v>0</v>
      </c>
      <c r="BM44" s="7">
        <f>BM42-BM43</f>
        <v>14</v>
      </c>
      <c r="BN44" s="7">
        <f>BN42-BN43</f>
        <v>13</v>
      </c>
      <c r="BO44" s="7">
        <f>BO42-BO43</f>
        <v>0</v>
      </c>
    </row>
    <row r="45" ht="15" hidden="1">
      <c r="L45" s="128">
        <f>L42-L44</f>
        <v>1566190.1768900002</v>
      </c>
    </row>
  </sheetData>
  <sheetProtection/>
  <mergeCells count="14">
    <mergeCell ref="AM3:AR3"/>
    <mergeCell ref="AS3:AX3"/>
    <mergeCell ref="B4:D4"/>
    <mergeCell ref="I4:K4"/>
    <mergeCell ref="R4:T4"/>
    <mergeCell ref="Y4:AA4"/>
    <mergeCell ref="AM4:AN4"/>
    <mergeCell ref="AS4:AT4"/>
    <mergeCell ref="A3:A6"/>
    <mergeCell ref="B3:H3"/>
    <mergeCell ref="I3:Q3"/>
    <mergeCell ref="R3:X3"/>
    <mergeCell ref="Y3:AL3"/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dcterms:created xsi:type="dcterms:W3CDTF">2018-01-30T11:47:32Z</dcterms:created>
  <dcterms:modified xsi:type="dcterms:W3CDTF">2018-01-30T13:51:09Z</dcterms:modified>
  <cp:category/>
  <cp:version/>
  <cp:contentType/>
  <cp:contentStatus/>
</cp:coreProperties>
</file>