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200" windowHeight="10635" tabRatio="645" activeTab="1"/>
  </bookViews>
  <sheets>
    <sheet name="гос 2016" sheetId="1" r:id="rId1"/>
    <sheet name="мун 2016 " sheetId="2" r:id="rId2"/>
  </sheets>
  <externalReferences>
    <externalReference r:id="rId5"/>
  </externalReferences>
  <definedNames>
    <definedName name="_xlnm._FilterDatabase" localSheetId="0" hidden="1">'гос 2016'!$A$6:$M$256</definedName>
    <definedName name="_xlnm._FilterDatabase" localSheetId="1" hidden="1">'мун 2016 '!$B$5:$I$329</definedName>
    <definedName name="_xlnm.Print_Titles" localSheetId="0">'гос 2016'!$6:$7</definedName>
    <definedName name="_xlnm.Print_Titles" localSheetId="1">'мун 2016 '!$5:$6</definedName>
    <definedName name="_xlnm.Print_Area" localSheetId="0">'гос 2016'!$A$1:$AB$263</definedName>
    <definedName name="_xlnm.Print_Area" localSheetId="1">'мун 2016 '!$A$1:$P$347</definedName>
  </definedNames>
  <calcPr fullCalcOnLoad="1"/>
</workbook>
</file>

<file path=xl/sharedStrings.xml><?xml version="1.0" encoding="utf-8"?>
<sst xmlns="http://schemas.openxmlformats.org/spreadsheetml/2006/main" count="2494" uniqueCount="435">
  <si>
    <t/>
  </si>
  <si>
    <t>ППГП</t>
  </si>
  <si>
    <t>ГРБС</t>
  </si>
  <si>
    <t>Рз</t>
  </si>
  <si>
    <t>Пр</t>
  </si>
  <si>
    <t>НР</t>
  </si>
  <si>
    <t>ВР</t>
  </si>
  <si>
    <t>1</t>
  </si>
  <si>
    <t>2</t>
  </si>
  <si>
    <t>3</t>
  </si>
  <si>
    <t>7</t>
  </si>
  <si>
    <t>11</t>
  </si>
  <si>
    <t>01</t>
  </si>
  <si>
    <t>02</t>
  </si>
  <si>
    <t>04</t>
  </si>
  <si>
    <t>05</t>
  </si>
  <si>
    <t>Национальная экономика</t>
  </si>
  <si>
    <t>08</t>
  </si>
  <si>
    <t>Образование</t>
  </si>
  <si>
    <t>07</t>
  </si>
  <si>
    <t>09</t>
  </si>
  <si>
    <t>Жилищно-коммунальное хозяйство</t>
  </si>
  <si>
    <t>14</t>
  </si>
  <si>
    <t>Коммунальное хозяйство</t>
  </si>
  <si>
    <t>Здравоохранение</t>
  </si>
  <si>
    <t>Развитие здравоохранения Брянской области (2014 - 2020 годы)</t>
  </si>
  <si>
    <t>Стационарная медицинская помощь</t>
  </si>
  <si>
    <t>Амбулаторная помощь</t>
  </si>
  <si>
    <t>Департамент строительства и архитектуры Брянской области</t>
  </si>
  <si>
    <t>819</t>
  </si>
  <si>
    <t>Бюджетные инвестиции в объекты капитальных вложений государственной собственности</t>
  </si>
  <si>
    <t>Бюджетные инвестиции в объекты капитального строительства государственной (муниципальной) cобственности</t>
  </si>
  <si>
    <t>414</t>
  </si>
  <si>
    <t>Развитие культуры и туризма в Брянской области (2014 - 2020 годы)</t>
  </si>
  <si>
    <t>15</t>
  </si>
  <si>
    <t>Культура, кинематография</t>
  </si>
  <si>
    <t>Культура</t>
  </si>
  <si>
    <t>Развитие образования и науки Брянской области (2014 - 2020 годы)</t>
  </si>
  <si>
    <t>16</t>
  </si>
  <si>
    <t>Дошкольное образование</t>
  </si>
  <si>
    <t>Общее образование</t>
  </si>
  <si>
    <t>Развитие сельского хозяйства и регулирование рынков сельскохозяйственной продукции, сырья и продовольствия Брянской области (2014 - 2020 годы)</t>
  </si>
  <si>
    <t>17</t>
  </si>
  <si>
    <t>Подпрограмма "Устойчивое развитие сельских территорий" (2014 - 2020 годы)</t>
  </si>
  <si>
    <t>19</t>
  </si>
  <si>
    <t>Подпрограмма "Реабилитация населения и территории Брянской области, подвергшихся радиационному воздействию вследствие катастрофы на Чернобыльской АЭС" (2014 - 2020 годы)</t>
  </si>
  <si>
    <t>Подпрограмма "Развитие социальной и инженерной инфраструктуры Брянской области" (2014 - 2020 годы)</t>
  </si>
  <si>
    <t>Подпрограмма "Автомобильные дороги" (2014 - 2020 годы)</t>
  </si>
  <si>
    <t>Дорожное хозяйство (дорожные фонды)</t>
  </si>
  <si>
    <t>Развитие и совершенствование сети автомобильных дорог регионального значения общего пользования</t>
  </si>
  <si>
    <t>Развитие физической культуры и спорта Брянской области (2014 - 2020 годы)</t>
  </si>
  <si>
    <t>25</t>
  </si>
  <si>
    <t>Физическая культура и спорт</t>
  </si>
  <si>
    <t>Физическая культура</t>
  </si>
  <si>
    <t>Массовый спорт</t>
  </si>
  <si>
    <t>в том числе:</t>
  </si>
  <si>
    <t>Срок ввода в действие</t>
  </si>
  <si>
    <t>кв.м</t>
  </si>
  <si>
    <t>мест</t>
  </si>
  <si>
    <t>Заказчик: ГКУ "Управление капитального строительства Брянской области"</t>
  </si>
  <si>
    <t>Карачевский район</t>
  </si>
  <si>
    <t>Брянский район</t>
  </si>
  <si>
    <t>Суражский район</t>
  </si>
  <si>
    <t>км</t>
  </si>
  <si>
    <t>Злынковский район</t>
  </si>
  <si>
    <t>Комаричский район</t>
  </si>
  <si>
    <t>Навлинский район</t>
  </si>
  <si>
    <t>г. Клинцы</t>
  </si>
  <si>
    <t>г.Стародуб</t>
  </si>
  <si>
    <t>Климовский район</t>
  </si>
  <si>
    <t>Клетнянский район</t>
  </si>
  <si>
    <t>Трубчевский район</t>
  </si>
  <si>
    <t>Заказчик: КУ "Управление автомобильных дорог Брянской области"</t>
  </si>
  <si>
    <t>чел.в смену</t>
  </si>
  <si>
    <t>ОБЪЕКТЫ МУНИЦИПАЛЬНОЙ СОБСТВЕННОСТИ, ВСЕГО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</si>
  <si>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</si>
  <si>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</si>
  <si>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Жуковский район</t>
  </si>
  <si>
    <t>Развитие и совершенствование сети автомобильных дорог местного значения общего пользования</t>
  </si>
  <si>
    <t>Софинансирование объектов капитальных вложений муниципальной собственности</t>
  </si>
  <si>
    <t>Севский район</t>
  </si>
  <si>
    <t>г.Брянск</t>
  </si>
  <si>
    <t xml:space="preserve">Субсидии на софинансирование объектов капитального строительства муниципальной собственности </t>
  </si>
  <si>
    <t>коек</t>
  </si>
  <si>
    <t>Строительство систем газоснабжения для населенных пунктов Брянской области</t>
  </si>
  <si>
    <t>Строительство систем водоснабжения для населенных пунктов Брянской области</t>
  </si>
  <si>
    <t xml:space="preserve">Суражский район </t>
  </si>
  <si>
    <t>Проектирование, строительство и ввод в эксплуатацию перинатального центра в рамках реализации программы "Модернизация здравоохранения Брянской области" (2011-2016 годы)</t>
  </si>
  <si>
    <t>Департамент здравоохранения Брянской области</t>
  </si>
  <si>
    <t>Другие вопросы в области национальной экономики</t>
  </si>
  <si>
    <t>Брасовский район</t>
  </si>
  <si>
    <t>Клинцовский район</t>
  </si>
  <si>
    <t>Стародубский район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</si>
  <si>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</si>
  <si>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</si>
  <si>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</si>
  <si>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Бюджетные инвестиции в объекты капитального строительства государственной (муниципальной) собственности</t>
  </si>
  <si>
    <t>Реконструкция и техническое перевооружение Центра обработки вызовов Системы - 112 Брянской области по адресу: г.Брянск,ул.Бондаренко,8</t>
  </si>
  <si>
    <t>Развитие топливно-энергетического комплекса и жилищно-коммунального хозяйства Брянской области (2014 - 2020 годы)</t>
  </si>
  <si>
    <t>Департамент топливно-энергетического комплекса и жилищно-коммунального хозяйства Брянской области</t>
  </si>
  <si>
    <t>Заказчик: Государственная корпорация по содействию разработке, производству и экспорту высокотехнологичной промышленной продукции "Ростех"</t>
  </si>
  <si>
    <t>Почепский район</t>
  </si>
  <si>
    <t>Подпрограмма "Чистая вода" (2015 - 2020 годы)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</si>
  <si>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 (2014 - 2020 годы)</t>
  </si>
  <si>
    <t>Климовская специальная (коррекционная) школа-интернат для детей-сирот и детей, оставшихся без попечения родителей (реконструкция)</t>
  </si>
  <si>
    <t>Обеспечение реализации полномочий высшего исполнительного органа государственной власти Брянской области (2014 - 2020 годы)</t>
  </si>
  <si>
    <t>Заказчик: ГАУЗ "Брянская городская больница №1"</t>
  </si>
  <si>
    <t>Строительство и реконструкция систем водоснабжения для населенных пунктов Брянской области</t>
  </si>
  <si>
    <t>км                       скваж.</t>
  </si>
  <si>
    <t>11                             2</t>
  </si>
  <si>
    <t xml:space="preserve">км                   скваж.                   </t>
  </si>
  <si>
    <t>5,26                                 2</t>
  </si>
  <si>
    <t>5,19                           2</t>
  </si>
  <si>
    <t>м2</t>
  </si>
  <si>
    <t>914,25</t>
  </si>
  <si>
    <t>пос/см.кв.м</t>
  </si>
  <si>
    <t>150   925,49</t>
  </si>
  <si>
    <t xml:space="preserve">Комаричский район </t>
  </si>
  <si>
    <t>Красногорский район</t>
  </si>
  <si>
    <t>Погарский район</t>
  </si>
  <si>
    <t>Дятьковское городское поселение</t>
  </si>
  <si>
    <t xml:space="preserve">Реконструкция автомобильной дороги по ул. Фокина в г. Дятьково </t>
  </si>
  <si>
    <t>Департамент сельского хозяйства Брянской области</t>
  </si>
  <si>
    <t>817</t>
  </si>
  <si>
    <t>Сельское хозяйство и рыболовство</t>
  </si>
  <si>
    <t>Устойчивое развитие сельских территорий</t>
  </si>
  <si>
    <t xml:space="preserve">Строительство автомобильной дороги Подъезд к зерноскладу ООО "Сельхозник" в н.п.Чаянка от автомобильной дороги "Локоть - Кретово" - Турищево на км 35+800  в Брасовском районе Брянской области </t>
  </si>
  <si>
    <t xml:space="preserve">Строительство автомобильной дороги Подъезд к производственной базе ООО "АПК Суслово" от автомобильной дороги   "Локоть - Кретово" - Турищево - Суслово на км 6+500  в Брасовском районе Брянской области </t>
  </si>
  <si>
    <t>Дубровский район</t>
  </si>
  <si>
    <t>Жирятинский район</t>
  </si>
  <si>
    <t>Строительство автомобильной дороги Куприна-Сомово на участке Куприна-граница Орловской области в Карачевском районе Брянской области (вблизи н.п. Сомово Шаблыкинского района Орловской области)</t>
  </si>
  <si>
    <t>Унечский район</t>
  </si>
  <si>
    <t>Строительство автомобильной дороги Подъезд к ФАПу и детскому саду в с.Писаревка от автомобильной дороги Унеча-Мглин на км 10+891 в Унечском районе  Брянской области</t>
  </si>
  <si>
    <t>Охрана окружающей среды, воспроизводство и использование природных ресурсов Брянской области (2014 - 2020 годы)</t>
  </si>
  <si>
    <t>Департамент природных ресурсов и экологии Брянской области</t>
  </si>
  <si>
    <t>Другие вопросы в области охраны окружающей среды</t>
  </si>
  <si>
    <t>808</t>
  </si>
  <si>
    <t>06</t>
  </si>
  <si>
    <t>Охрана окружающей среды</t>
  </si>
  <si>
    <t>куб.м/сут.</t>
  </si>
  <si>
    <t>0</t>
  </si>
  <si>
    <t>Бошинское сельское поселение Карачевского района</t>
  </si>
  <si>
    <t xml:space="preserve"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 </t>
  </si>
  <si>
    <t>Департамент культуры Брянской области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</si>
  <si>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</si>
  <si>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уч. мест</t>
  </si>
  <si>
    <t>Перинатальный центр по адресу: Брянская область, г. Брянск, ул.Камозина, 11 мощностью 130 коек</t>
  </si>
  <si>
    <t>Реконструкция здания бывшего детского сада под поликлиническое отделение Белоберезковской участковой больницы ГБУЗ "Трубчевская ЦРБ"</t>
  </si>
  <si>
    <t>Лечебный корпус городской больницы №4 по ул. Бежицкой в Советском районе г. Брянска</t>
  </si>
  <si>
    <t>Врачебная амбулатория с офисом врача общей (семейной) практики в пгт Кокоревка Суземского района</t>
  </si>
  <si>
    <t>Детский сад-ясли в микрорайоне по ул.Флотской в Бежицком районе г.Брянска</t>
  </si>
  <si>
    <t xml:space="preserve">Водоснабжение н.п. Алексеевка </t>
  </si>
  <si>
    <t>Реконструкция водопроводных сетей н.п. Вышков (2 очередь строительства)</t>
  </si>
  <si>
    <t>Газификация н.п. Клетня</t>
  </si>
  <si>
    <t>Обустройство горнолыжной трассы в Советском районе г. Брянска</t>
  </si>
  <si>
    <t>Бассейн по ул. 2-я Мичурина в Володарском районе в г.Брянске</t>
  </si>
  <si>
    <t xml:space="preserve">Строительство теннисного центра, г.Брянск </t>
  </si>
  <si>
    <t>Очистные сооружения пгт Комаричи</t>
  </si>
  <si>
    <t>Очистные сооружения н.п. Навля</t>
  </si>
  <si>
    <t>Реконструкция очистных сооружений в г. Стародуб</t>
  </si>
  <si>
    <t>Сельский Дом культуры на 200 мест в п.Погребы Брасовского района</t>
  </si>
  <si>
    <t>Реконструкция муниципального стадиона "Снежеть" в г.Карачеве</t>
  </si>
  <si>
    <t xml:space="preserve">Роддом (2 пусковой комплекс) г.Клинцы </t>
  </si>
  <si>
    <t>Мглинский район</t>
  </si>
  <si>
    <t xml:space="preserve">Газификация н.п. Католино </t>
  </si>
  <si>
    <t>Газификация н.п. Николаевка</t>
  </si>
  <si>
    <t>Дятьковский район</t>
  </si>
  <si>
    <t>Газификация н.п. Ольшаница</t>
  </si>
  <si>
    <t>Газификация н.п. Корчминка</t>
  </si>
  <si>
    <t xml:space="preserve">Строительство автомобильной дороги Брянск - Урицкий в Брянском районе Брянской области (1 этап) </t>
  </si>
  <si>
    <t xml:space="preserve">Субсидии государственным корпорациям (компаниям) на выполнение возложенных на них государственных полномочий </t>
  </si>
  <si>
    <t>Суражское городское поселение Суражского района</t>
  </si>
  <si>
    <t>2016г.</t>
  </si>
  <si>
    <t>Управление физической культуры и спорта Брянской области</t>
  </si>
  <si>
    <t>Заказчик: ГАУ "Спортивный клуб "Брянск"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</si>
  <si>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</si>
  <si>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Строительство автомобильной дороги Подъезд к производственной базе К(Ф) Х "Минаев С.Ю." от автомобильной дороги "Брянск-Смоленск"-Жирятино на км 18+000 в Жирятинском районе  Брянской области</t>
  </si>
  <si>
    <t xml:space="preserve">Строительство автомобильной дороги Подъезд к МТФ в н.п. Спиридонова Буда  от автомобильной дороги Злынка-Кожановка на км 14+510 в Злынковском районе Брянской области </t>
  </si>
  <si>
    <t xml:space="preserve">Строительство автомобильной дороги Подъезд к МТФ в н.п. Денисковичи  от автомобильной дороги Злынка-Лысые-Карпиловка на км 16+800 в Злынковском районе Брянской области </t>
  </si>
  <si>
    <t xml:space="preserve">Строительство автомобильной дороги Подъезд к МТФ в н.п. Большие Щербиничи  от автомобильной дороги Карпиловка-Большие Щербиничи на км 6+480  в Злынковском районе Брянской области </t>
  </si>
  <si>
    <t>ОМ</t>
  </si>
  <si>
    <t>Снижение рисков чрезвычайных ситуаций, повышение защиты населения и территорий области от угроз природного и техногенного характера</t>
  </si>
  <si>
    <t>33</t>
  </si>
  <si>
    <t>11260</t>
  </si>
  <si>
    <t>Обеспечение сельского населения, в том числе молодых семей и молодых специалистов, благоустроенным жильем, повышение уровня комплексного обустройства населенных пунктов, расположенных в сельской местности, объектами социальной и инженерной инфраструктуры, вблизи которых осуществляются инвестиционные проекты в сфере агропромышленного комплекса, автомобильными дорогами общего пользования с твердым покрытием</t>
  </si>
  <si>
    <t>Развитие инфраструктуры сферы образования</t>
  </si>
  <si>
    <t>Развитие инфраструктуры сферы культуры</t>
  </si>
  <si>
    <t>Развитие инфраструктуры сферы здравоохранения</t>
  </si>
  <si>
    <t>Осуществление единой государственной политики и нормативное правовое регулирование в сфере строительства, архитектуры, градостроительства, жилищной политики</t>
  </si>
  <si>
    <t>Газификация населенных пунктов и объектов социальной инфраструктуры, модернизация объектов коммунальной инфраструктуры</t>
  </si>
  <si>
    <t>Развитие и модернизация сети автомобильных дорог общего пользования регионального, межмуниципального и местного значения</t>
  </si>
  <si>
    <t>Развитие инфраструктуры сферы физической культуры и спорта</t>
  </si>
  <si>
    <t>Реализация мероприятий по государственной поддержке субъектов малого и среднего предпринимательства в Брянской области</t>
  </si>
  <si>
    <t>Обеспечение экологической безопасности населения, охраны окружающей среды, рационального использования природных ресурсов и сохранения биологического разнообразия на территории Брянской области</t>
  </si>
  <si>
    <t>51</t>
  </si>
  <si>
    <t>Осуществление строительства систем водоснабжения для населенных пунктов Брянской области, увеличение энергоэффективности технологических процессов в сфере водопроводного хозяйства</t>
  </si>
  <si>
    <t>11270</t>
  </si>
  <si>
    <t>R0180</t>
  </si>
  <si>
    <t>16130</t>
  </si>
  <si>
    <t>Субсидии на осуществление  капитальных вложений в объекты капитального строительства государственной (муниципальной) собственности автономным учреждениям</t>
  </si>
  <si>
    <t>в том числе кредиторская задолженность за работы, выполненные в 2015 году</t>
  </si>
  <si>
    <t>Реконструкция водопроводных сетей н.п. Злынка (1 очередь строительства)</t>
  </si>
  <si>
    <t>Строительство канализационных сетей н.п. Комаричи (1 очередь строительства)</t>
  </si>
  <si>
    <t>Строительство автомобильной дороги Небольсинский - Станция Эдазия в Жуковском районе Брянской области</t>
  </si>
  <si>
    <t>Строительство автомобильной дороги "Почеп-Жирятино"-Кувшиново в Почепском районе Брянской области</t>
  </si>
  <si>
    <t>Реконструкция автомобильной дороги "Брянск-Новозыбков"-Стародуб на участке км 8+200-км 20+550,  в Стародубском районе Брянской области</t>
  </si>
  <si>
    <t>Реконструкция автомобильной дороги Трубчевск-Погар на участке км 1+300-км 30+760,  в Трубчевском и Погарском районах Брянской области</t>
  </si>
  <si>
    <t>г. Сельцо</t>
  </si>
  <si>
    <t>Трубчевский  район</t>
  </si>
  <si>
    <t>Городской округ "город Брянск"</t>
  </si>
  <si>
    <t>Муниципальное образование "город Дятьково"</t>
  </si>
  <si>
    <t>Гордеевский район</t>
  </si>
  <si>
    <t>Реконструкция водопроводной сети в с. Гордеевка ул 15 лет Октября</t>
  </si>
  <si>
    <t>Выгоничский район</t>
  </si>
  <si>
    <t>Реконструкция водозаборного узла  в н. п. Выгоничи, ул.Свердлова,20, Выгоничского района</t>
  </si>
  <si>
    <t xml:space="preserve">Реконструкция водозаборного узла в н.п.  Лопушь, ул. Молодежная, 2 «А», Выгоничского района </t>
  </si>
  <si>
    <t>Строительство ВЗУ в н.п. Пушкарная Слобода с прокладкой водопроводной сети до ул. С-Щедрина в г. Севске Брянской области (2-я очередь)</t>
  </si>
  <si>
    <t>Заказчик: ГБУК "Брянский государственный краеведческий музей"</t>
  </si>
  <si>
    <t>Перевод отопления учреждений и организаций социально-культурной сферы на природный газ</t>
  </si>
  <si>
    <t>Реконструкция  автомобильной дороги "Брянск-Новозыбков"-Мглин на участке  км  30+450 -  км 46+040  в Мглинском  районе Брянской области</t>
  </si>
  <si>
    <t>Реконструкция путепровода через железнодорожные пути станции Брянск I в Володарском районе г.Брянска</t>
  </si>
  <si>
    <t>пос.    смену</t>
  </si>
  <si>
    <t>3,337                              2</t>
  </si>
  <si>
    <t>0,076                              2</t>
  </si>
  <si>
    <t>1,358                              2</t>
  </si>
  <si>
    <t>5,78                             1</t>
  </si>
  <si>
    <t>км                            скваж.</t>
  </si>
  <si>
    <t>3,72                                   2</t>
  </si>
  <si>
    <t>посещ.</t>
  </si>
  <si>
    <t>м3/сут</t>
  </si>
  <si>
    <t>чел/см</t>
  </si>
  <si>
    <t>2016</t>
  </si>
  <si>
    <t>2018г.                 (1 этап)</t>
  </si>
  <si>
    <t xml:space="preserve">Реконструкция автомобильной дороги по ул. Гоголя в г. Дятьково </t>
  </si>
  <si>
    <t>в том числе кредиторская задолженность за работы, выполненные в 2014 году</t>
  </si>
  <si>
    <t>в том числе кредиторская задолженность за работы, выполненные в 2014-2015 годах</t>
  </si>
  <si>
    <t>в том числе кредиторская задолженность за работы, выполненные в 2013-2015 годах</t>
  </si>
  <si>
    <t>Реконструкция автомобильной дороги Мглин-Сураж на участке км 2+000-км 30+200  в Мглинском и Суражском районах Брянской области</t>
  </si>
  <si>
    <t xml:space="preserve">Реконструкция мостового перехода через р.Десна на км 6+681 автомобильной дороги "Брянск-Смоленск"-Жуковка в Жуковском районе Брянской области </t>
  </si>
  <si>
    <t xml:space="preserve">Реконструкция автомобильной дороги Стародуб-Климово   в Стародубском и Климовском районах Брянской области </t>
  </si>
  <si>
    <t>Газификация н.п. Ляличи</t>
  </si>
  <si>
    <t>Рогнединский район</t>
  </si>
  <si>
    <t xml:space="preserve">Газификация н.п. Бологча </t>
  </si>
  <si>
    <t xml:space="preserve">Водоснабжение н.п. Клюковники </t>
  </si>
  <si>
    <t>Водоснабжение н.п.Рассуха Унечского района</t>
  </si>
  <si>
    <t>Водоснабжение н.п. Писаревка</t>
  </si>
  <si>
    <t>Газификация ул. Мельникова</t>
  </si>
  <si>
    <t>г. Сураж</t>
  </si>
  <si>
    <t>Нераспределенный резерв</t>
  </si>
  <si>
    <t>ОБЪЕКТЫ ГОСУДАРСТВЕННОЙ СОБСТВЕННОСТИ, ВСЕГО</t>
  </si>
  <si>
    <t>Физкультурно-оздоровительный комплекс, г.Сураж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</si>
  <si>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</si>
  <si>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Обеспечение односменного режима обучения в 1-11 (12) классах общеобразовательных организаций, перевод обучающихся в новые здания общеобразовательных организаций из зданий с износом 50 процентов и выше</t>
  </si>
  <si>
    <t>Подпрограмма "Создание общих условий функционирования агропромышленного комплекса" (2014 - 2020 годы)</t>
  </si>
  <si>
    <t>Повышение эффективности и конкурентоспособности продукции сельскохозяйственных товаропроизводителей за счет технической и технологической модернизации производства</t>
  </si>
  <si>
    <t>Взносы Брянской области в уставные капиталы хозяйственных обществ</t>
  </si>
  <si>
    <t>Субсидии на осуществление капитальных вложений
в объекты капитального строительства государственной
(муниципальной) собственности государственным
(муниципальным) унитарным предприятиям</t>
  </si>
  <si>
    <t>м3</t>
  </si>
  <si>
    <t>Реализация мероприятий федеральной целевой программы "Культура России (2012 - 2018 годы)" за счет средств бюджета субъекта Российской Федерации</t>
  </si>
  <si>
    <t>R0140</t>
  </si>
  <si>
    <t>Реконструкция водопроводных сетей в н.п. Березовка</t>
  </si>
  <si>
    <t xml:space="preserve">Строительство водопроводной сети в  н.п. Гулевка </t>
  </si>
  <si>
    <t>объект</t>
  </si>
  <si>
    <t>Дворец единоборств в Советском районе г. Брянска</t>
  </si>
  <si>
    <t>г. Стародуб</t>
  </si>
  <si>
    <t>Насосная станция II подъёма и резервуар воды по ул.Чехова для водоснабжения г.Стародуба (1 очередь строительства. Водозаборные сооружения)</t>
  </si>
  <si>
    <t>65м3/ч</t>
  </si>
  <si>
    <t>Строительство водоснабжения в н.п.Стеклянная Радица</t>
  </si>
  <si>
    <t>Реконструкция водоснабжения н.п.Красная Слобода (1 очередь строительства)</t>
  </si>
  <si>
    <t>Водоснабжение н.п. Занковка</t>
  </si>
  <si>
    <t>Суземский район</t>
  </si>
  <si>
    <t>Газификация библиотеки н.п.Новенькое</t>
  </si>
  <si>
    <t>Реконструкция  автомобильной дороги Унеча-Сураж  на участке км 17+970 - км 25+060 в Суражском районе Брянской области                                  (1 пусковой комплекс км 17+970 - км 21+970)</t>
  </si>
  <si>
    <t>Реконструкция автомобильной дороги Унеча-Сураж на участке км 17+970-км 25+060, в Суражском районе Брянской области</t>
  </si>
  <si>
    <t>R4200</t>
  </si>
  <si>
    <t>Реконструкция  закрытого ледового стадиона "Десна", г.Брянск, ул.Кромская д.48а</t>
  </si>
  <si>
    <t>Развитие физической культуры и спорта Брянской области                  (2014 - 2020 годы)</t>
  </si>
  <si>
    <t>R4950</t>
  </si>
  <si>
    <t>Финансовое обеспечение мероприятий федеральной целевой программы "Развитие физической культуры и спорта в Российской Федерации на 2016-2020 годы" за счет средств бюджета субъекта Российской Федерации</t>
  </si>
  <si>
    <t>Реализация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строительства, реконструкцию и ремонт уникальных искусственных дорожных сооружений по решениям Правительства Российской Федерации за счет средств бюджета субъекта Российской Федерации</t>
  </si>
  <si>
    <t>Строительство автомобильной дороги Подъезд к производственной базе СПК "Зимницкий" от автомобильной дороги Дубровка-Вязовск на км 2+400 в Дубровском районе Брянской области</t>
  </si>
  <si>
    <t xml:space="preserve">Строительство автомобильной дороги Подъезд к МТФ в н.п.Суворово ООО СП "Дружба"  от автомобильной дороги   "Брянск - Новозыбков" - Погар - Гремяч (обход г.Погара) на км 2+600   в Погарском районе Брянской области </t>
  </si>
  <si>
    <t>Строительство автомобильной дороги Подъезд к ферме КРС ООО Агрофирма "Слон"  от автомобильной дороги "Украина"-Бересток на км 10+600  в Севском районе Брянской области (1 пусковой комплекс)</t>
  </si>
  <si>
    <t xml:space="preserve">Строительство автомобильной дороги Подъезд к производственной базе СПК "Союз" от автомобильной дороги "Украина" - Асовица" - Голышино на км 4+450  в Севском районе Брянской области </t>
  </si>
  <si>
    <t xml:space="preserve">Строительство автомобильной дороги Подъезд к ферме КРС в н.п.Азаровка  от автомобильной дороги "Погар - Стародуб" - Андрейковичи на км 23+900 Погарского района Брянской области </t>
  </si>
  <si>
    <t xml:space="preserve">Строительство автомобильной дороги Подъезд к ферме КРС колхоз "Новая Жизнь" в с.Курковичи от автомобильной дороги   Стародуб - Курковичи на км 33+100 в Стародубском районе Брянской области </t>
  </si>
  <si>
    <t xml:space="preserve">Строительство автомобильной дороги Подъезд к ферме КРС КФХ  Пашутко В.Н. в с.Демьянки от автомобильной дороги  "Стародуб-Курковичи"-Демьянки-Азаровка на км 2+500   в Стародубском районе Брянской области </t>
  </si>
  <si>
    <t xml:space="preserve">Строительство автомобильной дороги Подъезд к ферме КРС колхоз "Имени Правды" в с.Запольские Халеевичи от автомобильной дороги   "Мартьяновка - Стародуб" - Запольские Халеевичи на км 5+700   в Стародубском районе Брянской области </t>
  </si>
  <si>
    <t>Сооружение водозаборной скважины с подключением к существующей водопроводной сети в н.п. Латыши Жуковского района</t>
  </si>
  <si>
    <t>м3/ч                           м.п               м</t>
  </si>
  <si>
    <t>25                       770                    190</t>
  </si>
  <si>
    <t>Строительство водозаборного сооружения в н.п. Рубежное Климовского района</t>
  </si>
  <si>
    <t>4,54               50</t>
  </si>
  <si>
    <t>Любохонское городское поселение Дятьковского района</t>
  </si>
  <si>
    <t>м                        м3</t>
  </si>
  <si>
    <t>175                  30</t>
  </si>
  <si>
    <t>м.п.                        м3</t>
  </si>
  <si>
    <t>26                             50</t>
  </si>
  <si>
    <t xml:space="preserve">Белоберезковское городское поселение Трубчевского района </t>
  </si>
  <si>
    <t xml:space="preserve">Реконструкция водопровода пгт Белая Березка Трубчевского района </t>
  </si>
  <si>
    <t xml:space="preserve">м.п.                       </t>
  </si>
  <si>
    <t>Унечское городское поселение Унечского района</t>
  </si>
  <si>
    <t>Централизованое водоснабжение залинейной части города Унеча Унечского района Брянской области (1 очередь строительства)</t>
  </si>
  <si>
    <t xml:space="preserve">м3/ч                           м.п               </t>
  </si>
  <si>
    <t xml:space="preserve">160                  3585 </t>
  </si>
  <si>
    <t xml:space="preserve">Строительство автомобильной дороги Подъезд к МТФ в н.п.Кожановка от автомобильной дороги Новозыбков-Деменка-Кожановка на км 42+940 в Злынковском районе Брянской области </t>
  </si>
  <si>
    <t>Реконструкция стадиона "Десна" в Бежицком районе, г. Брянск (в том числе 1 этап реконструкции)</t>
  </si>
  <si>
    <t>Реконструкция здания детского сада под офис врача общей (семейной) практики в н.п. Ущерпье Клинцовского района</t>
  </si>
  <si>
    <t>Субсидии на софинасирование капитальных вложений в объекты государственной (муниципальной) собственности</t>
  </si>
  <si>
    <t xml:space="preserve">Водоснабжение ул. Партизанской, Ромашина, Крыловской и Новой  в  н.п.Толмачево (1 очередь строительства) </t>
  </si>
  <si>
    <t>Газификация ул. Александра Ковалевского в г. Сураже</t>
  </si>
  <si>
    <t>Газификация ул. Дегтярева, Луговой, Заречной в н.п. Дятьковичи</t>
  </si>
  <si>
    <t>Газификация н.п. Суховерхово</t>
  </si>
  <si>
    <t>г. Брянск</t>
  </si>
  <si>
    <t>Пристройка к школе №43 в п.Октябрьский Бежицкого района г.Брянска</t>
  </si>
  <si>
    <t xml:space="preserve">Водоснабжение н.п. Старая Кашовка (1 очередь строительства) </t>
  </si>
  <si>
    <t>Газификация н.п. Сенькин Ров Суражского района</t>
  </si>
  <si>
    <t>Водоснабжение н.п. Оболешево</t>
  </si>
  <si>
    <t>Модернизация объектов коммунальной инфраструктуры</t>
  </si>
  <si>
    <t>Канализационные очистные сооружения п. Добрунь Брянского района</t>
  </si>
  <si>
    <t>куб м в сут.</t>
  </si>
  <si>
    <t>Кирилловское сельское поселение Климовского района</t>
  </si>
  <si>
    <t>Газификация Дома культуры по ул.Комсомольской д.36 н.п.Вишневый</t>
  </si>
  <si>
    <t>Дом спорта "Олимпийские надежды" пр. Московский, 106б, Фокинский район, г. Брянск</t>
  </si>
  <si>
    <t>R1110</t>
  </si>
  <si>
    <t>Экономическое развитие, инвестиционная политика и инновационная экономика Брянской области (2014-2020 годы)</t>
  </si>
  <si>
    <t>Государственная поддержка малого и среднего предпринимательства в Брянской области (2014-2020 годы)</t>
  </si>
  <si>
    <t>Создание промышленных парков на территории Брянской области</t>
  </si>
  <si>
    <t>Пристройка к МБОУ СОШ №2 пгт.Клетня Брянской области</t>
  </si>
  <si>
    <t>R5200</t>
  </si>
  <si>
    <t>Пристройка на 600 мест к лицею №27 в Фокинском районе г.Брянска</t>
  </si>
  <si>
    <t>Создание новых мест в общеобразовательных организациях</t>
  </si>
  <si>
    <t xml:space="preserve">Строительство автомобильной дороги Красное-Кретово (завершающий этап) в Брасовском районе Брянской области </t>
  </si>
  <si>
    <t>Водоснабжение н.п. Влазовичи (3 очередь строительства)</t>
  </si>
  <si>
    <t>Газификация фельдшерско-акушерского пункта по ул. Школьной, 8 д. Строительная Слобода</t>
  </si>
  <si>
    <t>Газификация ФАП н.п.Дубровка</t>
  </si>
  <si>
    <t xml:space="preserve">Строительство автомобильной дороги Чаусы - Сопычи в Погарском районе Брянской области  </t>
  </si>
  <si>
    <t>Реконструкция автомобильной дороги Погар-Стародуб в Погарском и Стародубском районах Брянской области</t>
  </si>
  <si>
    <t>Реконструкция  автомобильной дороги "Брянск-Новозыбков"-Мглин на участке км 20+300 - км 30+450 в Почепском районе Брянской области (2 пусковой комплекс на участке км 25+300 - км 30+450)</t>
  </si>
  <si>
    <t>Реконструкция автомобильной дороги "Брянск - Новозыбков" - Мглин на участке км 10+300-км 20+300, 2 пусковой комплекс км 15+300-км 20+300 в Почепском районе Брянской области</t>
  </si>
  <si>
    <t>Реконструкция  автомобильной дороги "Брянск-Новозыбков"-Мглин на участке  км  20+300 -  км 30+450  в Почепском районе Брянской области (1 пусковой комплекс на участке км 20+300 - км 25+300)</t>
  </si>
  <si>
    <t>Водозаборное сооружение ул. Плауновка в н.п. Смотрова Буда Клинцовского района Брянской области</t>
  </si>
  <si>
    <t>Реконструкция водоснабжения н.п.Лакомая Буда Климовского района Брянской области (1 очередь строительства)</t>
  </si>
  <si>
    <t>Реконструкция Охотничьего замка (здания литературно-мемориального музея А.К.Толстого) в с.Красный Рог Почепского района Брянской области</t>
  </si>
  <si>
    <t>Морфологический корпус г. Клинцы</t>
  </si>
  <si>
    <t>Поликлиника на 150 посещений терапевтического корпуса и первый этаж терапевтического корпуса на 50 коек районной больницы н.п.Глинищево</t>
  </si>
  <si>
    <t>Реконструкция терапевтического корпуса Жуковской ЦРБ, г.Жуковка</t>
  </si>
  <si>
    <t>Реконструкция здания библиотеки (бывшего кинотеатра "Родина") в п.г.т.Климово</t>
  </si>
  <si>
    <t>Водоснабжение комплексной жилой застройки в н.п. Бошино Карачевского района Брянской области</t>
  </si>
  <si>
    <t>Электроснабжение комплексной жилой застройки в н.п. Бошино Карачевского района Брянской области</t>
  </si>
  <si>
    <t>Газификация комплексной жилой застройки в н.п. Бошино Карачевского района Брянской области</t>
  </si>
  <si>
    <t>Строительство автомобильных дорог в  микрорайоне "Дружба" с.Глинищево Брянского района</t>
  </si>
  <si>
    <t>Благоустройство микрорайона "Дружба" с. Глинищево Брянского района</t>
  </si>
  <si>
    <t>Газификация н.п. Дольск</t>
  </si>
  <si>
    <t xml:space="preserve">Строительство автомобильной дороги Подъезд к ФАПу и детскому саду в с. Писаревка от автомобильной дороги Унеча-Мглин на км 10+891 в Унечском районе Брянской области </t>
  </si>
  <si>
    <t>Физкультурно-оздоровительный комплекс п.г.т. Комаричи</t>
  </si>
  <si>
    <t>Строительство водопроводной сети по ул. Карла Маркса в с.Смолевичи</t>
  </si>
  <si>
    <t xml:space="preserve">«Создание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обучения» (2016-2025 годы) </t>
  </si>
  <si>
    <t>Детский сад г. Стародуб Брянской области</t>
  </si>
  <si>
    <t>Строительство нового здания областного театра кукол по ул.Пушкина 12, Володарского района г.Брянска</t>
  </si>
  <si>
    <t>Городской округ "город Стародуб"</t>
  </si>
  <si>
    <t>Строительство наружного водопровода по ул.Полевая и пер.Ленина в г.Стародубе Брянской области (2 очередь)</t>
  </si>
  <si>
    <t>Строительство водопроводной сети в микрорайоне Дружба-2 г.Мглина Мглинского района Брянской области</t>
  </si>
  <si>
    <t>Новозыбковский район</t>
  </si>
  <si>
    <t>скваж.</t>
  </si>
  <si>
    <t>Водозаборное сооружение в с.Селечня Суземского района Брянской области (1-я очередь)</t>
  </si>
  <si>
    <t>1                                              1                                         0,051</t>
  </si>
  <si>
    <t>2                                              1                                         0,746</t>
  </si>
  <si>
    <t>Севское городское поселение Севского района</t>
  </si>
  <si>
    <t>Реконструкция сетей водоснабжения в г.Севске Брянской области</t>
  </si>
  <si>
    <t>скв.</t>
  </si>
  <si>
    <t>кВт</t>
  </si>
  <si>
    <t>2016                             (1 этап)</t>
  </si>
  <si>
    <t>Брянский областной промышленный парк по ул. Красноармейской д.103. Реконструкция</t>
  </si>
  <si>
    <t>Реконструкция воздухоопорной оболочки спортивного комплекса с катком (ледовый дворец "Пересвет"), г. Брянск, ул. Кромская, д.48а</t>
  </si>
  <si>
    <t xml:space="preserve">скваж. насосн. ст. вод. башня сети </t>
  </si>
  <si>
    <t>Клетнянское городское поселение Клетнянского района</t>
  </si>
  <si>
    <t>1                                                                                              1                                         0,118</t>
  </si>
  <si>
    <t>"Производственный корпус ГУП "Унечский ветсанутильзавод" Брянской области (цех по производству мясокостной муки)</t>
  </si>
  <si>
    <t>т/год</t>
  </si>
  <si>
    <t>IV квартал 2016</t>
  </si>
  <si>
    <t>Строительство автомобильной дороги Урицкий - Козелкино в Брянском районе Брянской области</t>
  </si>
  <si>
    <t>Городской округ "город Клинцы"</t>
  </si>
  <si>
    <t>Реконструкция артезианской скважины №4 по ул. Ленина в пос.Любохна Дятьковского района Брянской области</t>
  </si>
  <si>
    <t>Строительство водозаборной скважины по ул.Гоголя пгт.Клетня Клетнянского района Брянской области</t>
  </si>
  <si>
    <t>1                         1               1       0,108</t>
  </si>
  <si>
    <t xml:space="preserve">Наименование </t>
  </si>
  <si>
    <t xml:space="preserve">ГП </t>
  </si>
  <si>
    <t>Еди-ница измере-ния</t>
  </si>
  <si>
    <t>Мощ-ность</t>
  </si>
  <si>
    <t>Утверждено</t>
  </si>
  <si>
    <t xml:space="preserve">Освоено </t>
  </si>
  <si>
    <t>Исполнено</t>
  </si>
  <si>
    <t>% испол-нения</t>
  </si>
  <si>
    <t>(рублей)</t>
  </si>
  <si>
    <t>ОТЧЕТ</t>
  </si>
  <si>
    <t xml:space="preserve">об исполнении перечня объектов бюджетных инвестиций </t>
  </si>
  <si>
    <t>государственной собственности Брянской области</t>
  </si>
  <si>
    <t xml:space="preserve">за январь-сентябрь 2016 года </t>
  </si>
  <si>
    <t>Реконструкция музея-усадьбы А.К.Толстого. Брянская обл., Почепский р-н, с. Красный Рог</t>
  </si>
  <si>
    <t>Детский сад на 115 мест в н.п.Мичуринский Брянского района</t>
  </si>
  <si>
    <t>Реконструкция водоснабжения н.п.Лутна (1 очередь строительства)</t>
  </si>
  <si>
    <t>Строительство водоснабжения в н.п.Лубошево</t>
  </si>
  <si>
    <t>Реконструкция водоснабжения н.п.Косичи (1 очередь строительства)</t>
  </si>
  <si>
    <t>Спортивно-оздоровительный комплекс в микрорайоне "Шибенец" г.Фокино Дятьковского района</t>
  </si>
  <si>
    <t>Директор департамента строительства и архитектуры Брянской области</t>
  </si>
  <si>
    <t>Г.Н. Солодун</t>
  </si>
  <si>
    <t>Латышева Н.А.</t>
  </si>
  <si>
    <t>72-14-81</t>
  </si>
  <si>
    <t>Строительство водозабора в г.Клинцы Брянской области (пос.Банный, 2 очередь строительства. 1 этап)</t>
  </si>
  <si>
    <t>Прокладка водопровода по ул.Кольцова в Володарском районе г.Брянска (2,3 и 4 этапы)</t>
  </si>
  <si>
    <t xml:space="preserve">Строительство водозабора в п.Радица-Крыловка Бежицкого района г.Брянска  </t>
  </si>
  <si>
    <t>Строительство ВЗУ производительностью 40 м3/ч по ул.Комарова в г.Дятьково Брянской области</t>
  </si>
  <si>
    <t>Водозаборное сооружение н.п.Клюковники Навлинского района Брянской области</t>
  </si>
  <si>
    <t>Водозаборное сооружение в н.п.Старый Вышков Новозыбковского района</t>
  </si>
  <si>
    <t>Реконструкция водоснабжения по ул.Мглинская в г. Сураж Брянской области</t>
  </si>
  <si>
    <t>Водонапорная башня по ул.Грибанова в г. Сураж Брянской области</t>
  </si>
  <si>
    <t>Лечебный корпус Суражской ЦРБ г.Сураж</t>
  </si>
  <si>
    <t>Строительство детского сада в г.Сельцо</t>
  </si>
  <si>
    <t xml:space="preserve">Газопровод низкого давления по ул.Совхозной в д. Большой Крупец </t>
  </si>
  <si>
    <t>Реконструкция водоснабжения н.п.Дунаевский</t>
  </si>
  <si>
    <t xml:space="preserve">Реконструкция водоснабжения н.п.Жары  </t>
  </si>
  <si>
    <t>Водоснабжение ул.Мельникова в г.Сураже</t>
  </si>
  <si>
    <t>Реконструкция Первомайского моста через р. Десна в Бежицком районе г.Брянска (1 пусковой комплекс)</t>
  </si>
  <si>
    <t>Строительство автодороги по ул.Романа Брянского на участке между ул.Авиационной и ул. Брянского Фронта в Советском районе города Брянска (1 этап)</t>
  </si>
  <si>
    <t>Реконструкция водоснабжения н.п.Красный Завод (1 очередь строительства)</t>
  </si>
  <si>
    <t>Водоснабжение н.п. Сачковичи                                           (1 очередь строительства)</t>
  </si>
  <si>
    <t>Наружние сети канализации пгт.Красная Гора</t>
  </si>
  <si>
    <t>Реконструкция водоснабжения н.п.Лесное Суражского района Брянской области (1 очередь строительства)</t>
  </si>
  <si>
    <t>Создание туристско-рекреационного кластера "Хрустальный город", Брянская область. (Строительство (реконструкция) инженерных сетей и объектов обеспечивающей инфраструктуры. 1этап- обустройство сквера по адресу: Брянская область, г. Дятьково (в районе пересечения ул. Гоголя и ул.Ленина))</t>
  </si>
  <si>
    <r>
      <t xml:space="preserve">скваж.                      </t>
    </r>
    <r>
      <rPr>
        <sz val="9"/>
        <color indexed="8"/>
        <rFont val="Times New Roman"/>
        <family val="1"/>
      </rPr>
      <t>в/башня                  км</t>
    </r>
  </si>
  <si>
    <r>
      <t>скваж.                      насос.станция</t>
    </r>
    <r>
      <rPr>
        <sz val="9"/>
        <color indexed="8"/>
        <rFont val="Times New Roman"/>
        <family val="1"/>
      </rPr>
      <t xml:space="preserve">                  км</t>
    </r>
  </si>
  <si>
    <t>Водозаборное сооружение в н.п.Алешковичи Суземского района  (1-я очередь)</t>
  </si>
  <si>
    <t>2016 3,3км</t>
  </si>
  <si>
    <t xml:space="preserve"> об исполнении перечня объектов капитальных вложений муниципальной собственности Брянской области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</si>
</sst>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0.000"/>
    <numFmt numFmtId="182" formatCode="0.0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[$-FC19]d\ mmmm\ yyyy\ &quot;г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77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"/>
      <family val="1"/>
    </font>
    <font>
      <b/>
      <sz val="9"/>
      <color indexed="61"/>
      <name val="Times New Roman"/>
      <family val="1"/>
    </font>
    <font>
      <sz val="9"/>
      <color indexed="6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8"/>
      <name val="Tahoma"/>
      <family val="2"/>
    </font>
    <font>
      <u val="single"/>
      <sz val="10"/>
      <color indexed="12"/>
      <name val="Times New Roman"/>
      <family val="1"/>
    </font>
    <font>
      <u val="single"/>
      <sz val="10"/>
      <color indexed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i/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top" wrapText="1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11" fillId="0" borderId="0">
      <alignment/>
      <protection/>
    </xf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5" fillId="30" borderId="8" applyNumberFormat="0" applyFont="0" applyAlignment="0" applyProtection="0"/>
    <xf numFmtId="9" fontId="5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04">
    <xf numFmtId="0" fontId="0" fillId="0" borderId="0" xfId="0" applyFont="1" applyFill="1" applyAlignment="1">
      <alignment vertical="top" wrapText="1"/>
    </xf>
    <xf numFmtId="0" fontId="0" fillId="32" borderId="0" xfId="0" applyFont="1" applyFill="1" applyAlignment="1">
      <alignment vertical="top" wrapText="1"/>
    </xf>
    <xf numFmtId="0" fontId="0" fillId="5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9" fillId="32" borderId="0" xfId="0" applyFont="1" applyFill="1" applyAlignment="1">
      <alignment vertical="top" wrapText="1"/>
    </xf>
    <xf numFmtId="0" fontId="8" fillId="32" borderId="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top" wrapText="1"/>
    </xf>
    <xf numFmtId="0" fontId="7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vertical="top" wrapText="1"/>
    </xf>
    <xf numFmtId="0" fontId="8" fillId="32" borderId="0" xfId="0" applyFont="1" applyFill="1" applyAlignment="1">
      <alignment vertical="top" wrapText="1"/>
    </xf>
    <xf numFmtId="0" fontId="0" fillId="5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35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0" fillId="36" borderId="0" xfId="0" applyFont="1" applyFill="1" applyAlignment="1">
      <alignment vertical="top" wrapText="1"/>
    </xf>
    <xf numFmtId="0" fontId="8" fillId="32" borderId="0" xfId="0" applyFont="1" applyFill="1" applyAlignment="1">
      <alignment horizontal="center" vertical="top" wrapText="1"/>
    </xf>
    <xf numFmtId="0" fontId="9" fillId="32" borderId="0" xfId="0" applyFont="1" applyFill="1" applyAlignment="1">
      <alignment horizontal="center" vertical="top" wrapText="1"/>
    </xf>
    <xf numFmtId="0" fontId="5" fillId="32" borderId="0" xfId="0" applyFont="1" applyFill="1" applyAlignment="1">
      <alignment vertical="top" wrapText="1"/>
    </xf>
    <xf numFmtId="0" fontId="4" fillId="36" borderId="0" xfId="0" applyFont="1" applyFill="1" applyAlignment="1">
      <alignment horizontal="left" vertical="top" wrapText="1"/>
    </xf>
    <xf numFmtId="0" fontId="8" fillId="36" borderId="0" xfId="0" applyFont="1" applyFill="1" applyAlignment="1">
      <alignment horizontal="left" vertical="top" wrapText="1"/>
    </xf>
    <xf numFmtId="0" fontId="4" fillId="36" borderId="0" xfId="0" applyFont="1" applyFill="1" applyAlignment="1">
      <alignment vertical="top" wrapText="1"/>
    </xf>
    <xf numFmtId="0" fontId="8" fillId="36" borderId="0" xfId="0" applyFont="1" applyFill="1" applyAlignment="1">
      <alignment vertical="top" wrapText="1"/>
    </xf>
    <xf numFmtId="0" fontId="0" fillId="32" borderId="0" xfId="0" applyFont="1" applyFill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2" fillId="36" borderId="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center" wrapText="1"/>
    </xf>
    <xf numFmtId="49" fontId="2" fillId="32" borderId="11" xfId="0" applyNumberFormat="1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right"/>
    </xf>
    <xf numFmtId="4" fontId="64" fillId="0" borderId="11" xfId="0" applyNumberFormat="1" applyFont="1" applyFill="1" applyBorder="1" applyAlignment="1">
      <alignment horizontal="right" wrapText="1"/>
    </xf>
    <xf numFmtId="0" fontId="3" fillId="32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top" wrapText="1"/>
    </xf>
    <xf numFmtId="0" fontId="2" fillId="36" borderId="0" xfId="0" applyFont="1" applyFill="1" applyAlignment="1">
      <alignment horizontal="left" vertical="top" wrapText="1"/>
    </xf>
    <xf numFmtId="0" fontId="14" fillId="36" borderId="1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65" fillId="36" borderId="10" xfId="0" applyFont="1" applyFill="1" applyBorder="1" applyAlignment="1">
      <alignment horizontal="center" vertical="top" wrapText="1"/>
    </xf>
    <xf numFmtId="0" fontId="65" fillId="36" borderId="10" xfId="0" applyFont="1" applyFill="1" applyBorder="1" applyAlignment="1">
      <alignment horizontal="center" vertical="center" wrapText="1"/>
    </xf>
    <xf numFmtId="0" fontId="2" fillId="36" borderId="0" xfId="0" applyFont="1" applyFill="1" applyAlignment="1">
      <alignment vertical="top" wrapText="1"/>
    </xf>
    <xf numFmtId="0" fontId="0" fillId="32" borderId="0" xfId="0" applyFont="1" applyFill="1" applyAlignment="1">
      <alignment wrapText="1"/>
    </xf>
    <xf numFmtId="0" fontId="0" fillId="36" borderId="0" xfId="0" applyFont="1" applyFill="1" applyAlignment="1">
      <alignment wrapText="1"/>
    </xf>
    <xf numFmtId="4" fontId="5" fillId="36" borderId="10" xfId="0" applyNumberFormat="1" applyFont="1" applyFill="1" applyBorder="1" applyAlignment="1">
      <alignment horizontal="right" wrapText="1"/>
    </xf>
    <xf numFmtId="4" fontId="4" fillId="0" borderId="10" xfId="0" applyNumberFormat="1" applyFont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4" fontId="15" fillId="0" borderId="10" xfId="0" applyNumberFormat="1" applyFont="1" applyFill="1" applyBorder="1" applyAlignment="1">
      <alignment horizontal="right" wrapText="1"/>
    </xf>
    <xf numFmtId="4" fontId="16" fillId="36" borderId="10" xfId="0" applyNumberFormat="1" applyFont="1" applyFill="1" applyBorder="1" applyAlignment="1">
      <alignment horizontal="right" wrapText="1"/>
    </xf>
    <xf numFmtId="4" fontId="5" fillId="36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4" fontId="15" fillId="0" borderId="10" xfId="0" applyNumberFormat="1" applyFont="1" applyFill="1" applyBorder="1" applyAlignment="1">
      <alignment horizontal="right"/>
    </xf>
    <xf numFmtId="4" fontId="4" fillId="36" borderId="10" xfId="0" applyNumberFormat="1" applyFont="1" applyFill="1" applyBorder="1" applyAlignment="1">
      <alignment/>
    </xf>
    <xf numFmtId="4" fontId="4" fillId="36" borderId="10" xfId="0" applyNumberFormat="1" applyFont="1" applyFill="1" applyBorder="1" applyAlignment="1">
      <alignment horizontal="right"/>
    </xf>
    <xf numFmtId="4" fontId="15" fillId="0" borderId="10" xfId="0" applyNumberFormat="1" applyFont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4" fontId="5" fillId="36" borderId="12" xfId="0" applyNumberFormat="1" applyFont="1" applyFill="1" applyBorder="1" applyAlignment="1">
      <alignment horizontal="right" wrapText="1"/>
    </xf>
    <xf numFmtId="4" fontId="16" fillId="36" borderId="12" xfId="0" applyNumberFormat="1" applyFont="1" applyFill="1" applyBorder="1" applyAlignment="1">
      <alignment horizontal="right" wrapText="1"/>
    </xf>
    <xf numFmtId="4" fontId="4" fillId="36" borderId="10" xfId="0" applyNumberFormat="1" applyFont="1" applyFill="1" applyBorder="1" applyAlignment="1">
      <alignment horizontal="right" wrapText="1"/>
    </xf>
    <xf numFmtId="4" fontId="4" fillId="32" borderId="12" xfId="0" applyNumberFormat="1" applyFont="1" applyFill="1" applyBorder="1" applyAlignment="1">
      <alignment horizontal="right"/>
    </xf>
    <xf numFmtId="4" fontId="4" fillId="36" borderId="12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 wrapText="1"/>
    </xf>
    <xf numFmtId="4" fontId="4" fillId="0" borderId="12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top" wrapText="1"/>
    </xf>
    <xf numFmtId="0" fontId="17" fillId="36" borderId="10" xfId="0" applyFont="1" applyFill="1" applyBorder="1" applyAlignment="1">
      <alignment horizontal="left" wrapText="1"/>
    </xf>
    <xf numFmtId="182" fontId="66" fillId="36" borderId="10" xfId="0" applyNumberFormat="1" applyFont="1" applyFill="1" applyBorder="1" applyAlignment="1">
      <alignment horizontal="right" wrapText="1"/>
    </xf>
    <xf numFmtId="0" fontId="3" fillId="36" borderId="10" xfId="0" applyFont="1" applyFill="1" applyBorder="1" applyAlignment="1">
      <alignment horizontal="left" wrapText="1"/>
    </xf>
    <xf numFmtId="0" fontId="10" fillId="36" borderId="10" xfId="0" applyFont="1" applyFill="1" applyBorder="1" applyAlignment="1">
      <alignment horizontal="left" wrapText="1"/>
    </xf>
    <xf numFmtId="4" fontId="0" fillId="36" borderId="10" xfId="0" applyNumberFormat="1" applyFont="1" applyFill="1" applyBorder="1" applyAlignment="1">
      <alignment horizontal="right" wrapText="1"/>
    </xf>
    <xf numFmtId="0" fontId="18" fillId="36" borderId="10" xfId="0" applyFont="1" applyFill="1" applyBorder="1" applyAlignment="1">
      <alignment horizontal="left" wrapText="1"/>
    </xf>
    <xf numFmtId="182" fontId="0" fillId="36" borderId="10" xfId="0" applyNumberFormat="1" applyFont="1" applyFill="1" applyBorder="1" applyAlignment="1">
      <alignment horizontal="right" wrapText="1"/>
    </xf>
    <xf numFmtId="4" fontId="67" fillId="36" borderId="10" xfId="0" applyNumberFormat="1" applyFont="1" applyFill="1" applyBorder="1" applyAlignment="1">
      <alignment horizontal="right" wrapText="1"/>
    </xf>
    <xf numFmtId="0" fontId="3" fillId="36" borderId="10" xfId="0" applyFont="1" applyFill="1" applyBorder="1" applyAlignment="1">
      <alignment horizontal="right"/>
    </xf>
    <xf numFmtId="182" fontId="67" fillId="36" borderId="10" xfId="0" applyNumberFormat="1" applyFont="1" applyFill="1" applyBorder="1" applyAlignment="1">
      <alignment horizontal="right" wrapText="1"/>
    </xf>
    <xf numFmtId="0" fontId="3" fillId="32" borderId="10" xfId="0" applyFont="1" applyFill="1" applyBorder="1" applyAlignment="1">
      <alignment horizontal="right" wrapText="1"/>
    </xf>
    <xf numFmtId="0" fontId="21" fillId="36" borderId="10" xfId="0" applyFont="1" applyFill="1" applyBorder="1" applyAlignment="1">
      <alignment horizontal="left" wrapText="1"/>
    </xf>
    <xf numFmtId="0" fontId="3" fillId="36" borderId="10" xfId="0" applyFont="1" applyFill="1" applyBorder="1" applyAlignment="1">
      <alignment horizontal="right" wrapText="1"/>
    </xf>
    <xf numFmtId="0" fontId="17" fillId="36" borderId="10" xfId="0" applyFont="1" applyFill="1" applyBorder="1" applyAlignment="1">
      <alignment horizontal="left"/>
    </xf>
    <xf numFmtId="49" fontId="17" fillId="36" borderId="10" xfId="0" applyNumberFormat="1" applyFont="1" applyFill="1" applyBorder="1" applyAlignment="1">
      <alignment horizontal="left" wrapText="1"/>
    </xf>
    <xf numFmtId="49" fontId="3" fillId="36" borderId="10" xfId="0" applyNumberFormat="1" applyFont="1" applyFill="1" applyBorder="1" applyAlignment="1">
      <alignment horizontal="left" wrapText="1"/>
    </xf>
    <xf numFmtId="49" fontId="3" fillId="36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right"/>
    </xf>
    <xf numFmtId="0" fontId="17" fillId="32" borderId="10" xfId="0" applyFont="1" applyFill="1" applyBorder="1" applyAlignment="1">
      <alignment horizontal="right" wrapText="1"/>
    </xf>
    <xf numFmtId="4" fontId="19" fillId="0" borderId="12" xfId="0" applyNumberFormat="1" applyFont="1" applyFill="1" applyBorder="1" applyAlignment="1">
      <alignment horizontal="right" wrapText="1"/>
    </xf>
    <xf numFmtId="0" fontId="3" fillId="36" borderId="10" xfId="0" applyFont="1" applyFill="1" applyBorder="1" applyAlignment="1">
      <alignment horizontal="left" vertical="center" wrapText="1"/>
    </xf>
    <xf numFmtId="0" fontId="17" fillId="36" borderId="10" xfId="0" applyFont="1" applyFill="1" applyBorder="1" applyAlignment="1">
      <alignment horizontal="left" vertical="center" wrapText="1"/>
    </xf>
    <xf numFmtId="4" fontId="68" fillId="0" borderId="12" xfId="0" applyNumberFormat="1" applyFont="1" applyFill="1" applyBorder="1" applyAlignment="1">
      <alignment horizontal="right" wrapText="1"/>
    </xf>
    <xf numFmtId="0" fontId="17" fillId="36" borderId="10" xfId="0" applyNumberFormat="1" applyFont="1" applyFill="1" applyBorder="1" applyAlignment="1">
      <alignment horizontal="left" vertical="center" wrapText="1"/>
    </xf>
    <xf numFmtId="0" fontId="21" fillId="36" borderId="10" xfId="0" applyFont="1" applyFill="1" applyBorder="1" applyAlignment="1">
      <alignment horizontal="left" vertical="center" wrapText="1"/>
    </xf>
    <xf numFmtId="4" fontId="15" fillId="36" borderId="12" xfId="0" applyNumberFormat="1" applyFont="1" applyFill="1" applyBorder="1" applyAlignment="1">
      <alignment horizontal="right" wrapText="1"/>
    </xf>
    <xf numFmtId="4" fontId="4" fillId="36" borderId="12" xfId="0" applyNumberFormat="1" applyFont="1" applyFill="1" applyBorder="1" applyAlignment="1">
      <alignment horizontal="right" wrapText="1"/>
    </xf>
    <xf numFmtId="0" fontId="3" fillId="36" borderId="10" xfId="0" applyFont="1" applyFill="1" applyBorder="1" applyAlignment="1">
      <alignment horizontal="left" vertical="justify"/>
    </xf>
    <xf numFmtId="0" fontId="3" fillId="0" borderId="10" xfId="0" applyFont="1" applyFill="1" applyBorder="1" applyAlignment="1">
      <alignment horizontal="right" wrapText="1"/>
    </xf>
    <xf numFmtId="0" fontId="21" fillId="36" borderId="10" xfId="0" applyFont="1" applyFill="1" applyBorder="1" applyAlignment="1">
      <alignment horizontal="left" vertical="justify"/>
    </xf>
    <xf numFmtId="2" fontId="3" fillId="0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Fill="1" applyBorder="1" applyAlignment="1">
      <alignment horizontal="right"/>
    </xf>
    <xf numFmtId="4" fontId="69" fillId="36" borderId="12" xfId="0" applyNumberFormat="1" applyFont="1" applyFill="1" applyBorder="1" applyAlignment="1">
      <alignment horizontal="right" wrapText="1"/>
    </xf>
    <xf numFmtId="4" fontId="68" fillId="36" borderId="12" xfId="0" applyNumberFormat="1" applyFont="1" applyFill="1" applyBorder="1" applyAlignment="1">
      <alignment horizontal="right" wrapText="1"/>
    </xf>
    <xf numFmtId="4" fontId="69" fillId="0" borderId="12" xfId="0" applyNumberFormat="1" applyFont="1" applyFill="1" applyBorder="1" applyAlignment="1">
      <alignment horizontal="right" wrapText="1"/>
    </xf>
    <xf numFmtId="4" fontId="70" fillId="0" borderId="12" xfId="0" applyNumberFormat="1" applyFont="1" applyFill="1" applyBorder="1" applyAlignment="1">
      <alignment horizontal="right" wrapText="1"/>
    </xf>
    <xf numFmtId="4" fontId="70" fillId="36" borderId="12" xfId="0" applyNumberFormat="1" applyFont="1" applyFill="1" applyBorder="1" applyAlignment="1">
      <alignment horizontal="right" wrapText="1"/>
    </xf>
    <xf numFmtId="2" fontId="3" fillId="36" borderId="10" xfId="0" applyNumberFormat="1" applyFont="1" applyFill="1" applyBorder="1" applyAlignment="1">
      <alignment horizontal="right" wrapText="1"/>
    </xf>
    <xf numFmtId="0" fontId="17" fillId="36" borderId="10" xfId="0" applyFont="1" applyFill="1" applyBorder="1" applyAlignment="1">
      <alignment horizontal="right" wrapText="1"/>
    </xf>
    <xf numFmtId="0" fontId="71" fillId="36" borderId="13" xfId="0" applyFont="1" applyFill="1" applyBorder="1" applyAlignment="1">
      <alignment vertical="center" wrapText="1"/>
    </xf>
    <xf numFmtId="0" fontId="17" fillId="36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wrapText="1" readingOrder="1"/>
    </xf>
    <xf numFmtId="0" fontId="17" fillId="36" borderId="10" xfId="0" applyFont="1" applyFill="1" applyBorder="1" applyAlignment="1">
      <alignment horizontal="left" vertical="justify"/>
    </xf>
    <xf numFmtId="0" fontId="17" fillId="36" borderId="14" xfId="0" applyFont="1" applyFill="1" applyBorder="1" applyAlignment="1">
      <alignment horizontal="left" vertical="center" wrapText="1"/>
    </xf>
    <xf numFmtId="4" fontId="20" fillId="0" borderId="12" xfId="0" applyNumberFormat="1" applyFont="1" applyFill="1" applyBorder="1" applyAlignment="1">
      <alignment horizontal="right" wrapText="1"/>
    </xf>
    <xf numFmtId="4" fontId="20" fillId="32" borderId="12" xfId="0" applyNumberFormat="1" applyFont="1" applyFill="1" applyBorder="1" applyAlignment="1">
      <alignment horizontal="right" wrapText="1"/>
    </xf>
    <xf numFmtId="0" fontId="17" fillId="36" borderId="10" xfId="0" applyFont="1" applyFill="1" applyBorder="1" applyAlignment="1">
      <alignment horizontal="center" wrapText="1"/>
    </xf>
    <xf numFmtId="181" fontId="3" fillId="36" borderId="10" xfId="0" applyNumberFormat="1" applyFont="1" applyFill="1" applyBorder="1" applyAlignment="1">
      <alignment horizontal="right"/>
    </xf>
    <xf numFmtId="0" fontId="3" fillId="36" borderId="10" xfId="0" applyFont="1" applyFill="1" applyBorder="1" applyAlignment="1">
      <alignment horizontal="left" vertical="top" wrapText="1"/>
    </xf>
    <xf numFmtId="0" fontId="17" fillId="36" borderId="14" xfId="0" applyFont="1" applyFill="1" applyBorder="1" applyAlignment="1">
      <alignment horizontal="left" wrapText="1"/>
    </xf>
    <xf numFmtId="4" fontId="16" fillId="36" borderId="10" xfId="0" applyNumberFormat="1" applyFont="1" applyFill="1" applyBorder="1" applyAlignment="1">
      <alignment wrapText="1"/>
    </xf>
    <xf numFmtId="0" fontId="18" fillId="32" borderId="10" xfId="0" applyFont="1" applyFill="1" applyBorder="1" applyAlignment="1">
      <alignment horizontal="right" wrapText="1"/>
    </xf>
    <xf numFmtId="0" fontId="10" fillId="32" borderId="10" xfId="0" applyFont="1" applyFill="1" applyBorder="1" applyAlignment="1">
      <alignment horizontal="right" wrapText="1"/>
    </xf>
    <xf numFmtId="4" fontId="19" fillId="36" borderId="10" xfId="0" applyNumberFormat="1" applyFont="1" applyFill="1" applyBorder="1" applyAlignment="1">
      <alignment horizontal="right" wrapText="1"/>
    </xf>
    <xf numFmtId="49" fontId="18" fillId="36" borderId="10" xfId="0" applyNumberFormat="1" applyFont="1" applyFill="1" applyBorder="1" applyAlignment="1">
      <alignment horizontal="left" wrapText="1"/>
    </xf>
    <xf numFmtId="0" fontId="10" fillId="36" borderId="10" xfId="0" applyFont="1" applyFill="1" applyBorder="1" applyAlignment="1">
      <alignment horizontal="right" wrapText="1"/>
    </xf>
    <xf numFmtId="4" fontId="66" fillId="36" borderId="10" xfId="0" applyNumberFormat="1" applyFont="1" applyFill="1" applyBorder="1" applyAlignment="1">
      <alignment horizontal="right" wrapText="1"/>
    </xf>
    <xf numFmtId="0" fontId="18" fillId="36" borderId="10" xfId="0" applyFont="1" applyFill="1" applyBorder="1" applyAlignment="1">
      <alignment horizontal="right" wrapText="1"/>
    </xf>
    <xf numFmtId="0" fontId="18" fillId="0" borderId="10" xfId="53" applyFont="1" applyFill="1" applyBorder="1" applyAlignment="1">
      <alignment horizontal="left" wrapText="1"/>
      <protection/>
    </xf>
    <xf numFmtId="0" fontId="10" fillId="0" borderId="10" xfId="53" applyFont="1" applyFill="1" applyBorder="1" applyAlignment="1">
      <alignment horizontal="left" wrapText="1"/>
      <protection/>
    </xf>
    <xf numFmtId="49" fontId="10" fillId="0" borderId="10" xfId="53" applyNumberFormat="1" applyFont="1" applyFill="1" applyBorder="1" applyAlignment="1">
      <alignment horizontal="left" wrapText="1"/>
      <protection/>
    </xf>
    <xf numFmtId="0" fontId="10" fillId="0" borderId="10" xfId="53" applyFont="1" applyFill="1" applyBorder="1" applyAlignment="1">
      <alignment horizontal="right" wrapText="1"/>
      <protection/>
    </xf>
    <xf numFmtId="4" fontId="20" fillId="36" borderId="10" xfId="53" applyNumberFormat="1" applyFont="1" applyFill="1" applyBorder="1" applyAlignment="1">
      <alignment horizontal="right" wrapText="1"/>
      <protection/>
    </xf>
    <xf numFmtId="4" fontId="5" fillId="36" borderId="10" xfId="53" applyNumberFormat="1" applyFont="1" applyFill="1" applyBorder="1" applyAlignment="1">
      <alignment horizontal="right" wrapText="1"/>
      <protection/>
    </xf>
    <xf numFmtId="2" fontId="72" fillId="0" borderId="10" xfId="0" applyNumberFormat="1" applyFont="1" applyBorder="1" applyAlignment="1">
      <alignment horizontal="left" wrapText="1"/>
    </xf>
    <xf numFmtId="4" fontId="16" fillId="36" borderId="10" xfId="53" applyNumberFormat="1" applyFont="1" applyFill="1" applyBorder="1" applyAlignment="1">
      <alignment horizontal="right" wrapText="1"/>
      <protection/>
    </xf>
    <xf numFmtId="182" fontId="10" fillId="32" borderId="10" xfId="0" applyNumberFormat="1" applyFont="1" applyFill="1" applyBorder="1" applyAlignment="1">
      <alignment horizontal="right" wrapText="1"/>
    </xf>
    <xf numFmtId="49" fontId="71" fillId="37" borderId="10" xfId="0" applyNumberFormat="1" applyFont="1" applyFill="1" applyBorder="1" applyAlignment="1">
      <alignment horizontal="left" wrapText="1"/>
    </xf>
    <xf numFmtId="4" fontId="20" fillId="36" borderId="10" xfId="0" applyNumberFormat="1" applyFont="1" applyFill="1" applyBorder="1" applyAlignment="1">
      <alignment horizontal="right" wrapText="1"/>
    </xf>
    <xf numFmtId="0" fontId="71" fillId="0" borderId="10" xfId="0" applyFont="1" applyFill="1" applyBorder="1" applyAlignment="1">
      <alignment horizontal="left" wrapText="1"/>
    </xf>
    <xf numFmtId="0" fontId="73" fillId="0" borderId="10" xfId="0" applyFont="1" applyFill="1" applyBorder="1" applyAlignment="1">
      <alignment horizontal="left" wrapText="1"/>
    </xf>
    <xf numFmtId="0" fontId="73" fillId="37" borderId="10" xfId="0" applyFont="1" applyFill="1" applyBorder="1" applyAlignment="1">
      <alignment horizontal="left" wrapText="1"/>
    </xf>
    <xf numFmtId="49" fontId="73" fillId="37" borderId="10" xfId="0" applyNumberFormat="1" applyFont="1" applyFill="1" applyBorder="1" applyAlignment="1">
      <alignment horizontal="left" wrapText="1"/>
    </xf>
    <xf numFmtId="0" fontId="18" fillId="32" borderId="15" xfId="0" applyFont="1" applyFill="1" applyBorder="1" applyAlignment="1">
      <alignment horizontal="left" wrapText="1"/>
    </xf>
    <xf numFmtId="2" fontId="74" fillId="0" borderId="10" xfId="0" applyNumberFormat="1" applyFont="1" applyBorder="1" applyAlignment="1">
      <alignment horizontal="left" wrapText="1"/>
    </xf>
    <xf numFmtId="2" fontId="10" fillId="32" borderId="10" xfId="0" applyNumberFormat="1" applyFont="1" applyFill="1" applyBorder="1" applyAlignment="1">
      <alignment horizontal="right" wrapText="1"/>
    </xf>
    <xf numFmtId="2" fontId="75" fillId="0" borderId="10" xfId="0" applyNumberFormat="1" applyFont="1" applyBorder="1" applyAlignment="1">
      <alignment horizontal="left" wrapText="1"/>
    </xf>
    <xf numFmtId="0" fontId="71" fillId="0" borderId="10" xfId="0" applyFont="1" applyBorder="1" applyAlignment="1">
      <alignment horizontal="left"/>
    </xf>
    <xf numFmtId="0" fontId="73" fillId="37" borderId="15" xfId="0" applyFont="1" applyFill="1" applyBorder="1" applyAlignment="1">
      <alignment horizontal="left" wrapText="1"/>
    </xf>
    <xf numFmtId="0" fontId="74" fillId="0" borderId="10" xfId="0" applyFont="1" applyBorder="1" applyAlignment="1">
      <alignment horizontal="right"/>
    </xf>
    <xf numFmtId="4" fontId="68" fillId="36" borderId="10" xfId="0" applyNumberFormat="1" applyFont="1" applyFill="1" applyBorder="1" applyAlignment="1">
      <alignment horizontal="right" wrapText="1"/>
    </xf>
    <xf numFmtId="4" fontId="69" fillId="36" borderId="10" xfId="0" applyNumberFormat="1" applyFont="1" applyFill="1" applyBorder="1" applyAlignment="1">
      <alignment horizontal="right" wrapText="1"/>
    </xf>
    <xf numFmtId="4" fontId="70" fillId="36" borderId="10" xfId="0" applyNumberFormat="1" applyFont="1" applyFill="1" applyBorder="1" applyAlignment="1">
      <alignment horizontal="right" wrapText="1"/>
    </xf>
    <xf numFmtId="0" fontId="71" fillId="37" borderId="10" xfId="0" applyFont="1" applyFill="1" applyBorder="1" applyAlignment="1">
      <alignment horizontal="left" wrapText="1"/>
    </xf>
    <xf numFmtId="0" fontId="74" fillId="0" borderId="10" xfId="0" applyFont="1" applyBorder="1" applyAlignment="1">
      <alignment horizontal="right" wrapText="1"/>
    </xf>
    <xf numFmtId="0" fontId="74" fillId="36" borderId="10" xfId="0" applyFont="1" applyFill="1" applyBorder="1" applyAlignment="1">
      <alignment horizontal="right" wrapText="1"/>
    </xf>
    <xf numFmtId="0" fontId="75" fillId="0" borderId="10" xfId="0" applyFont="1" applyBorder="1" applyAlignment="1">
      <alignment horizontal="left"/>
    </xf>
    <xf numFmtId="0" fontId="74" fillId="0" borderId="10" xfId="0" applyFont="1" applyBorder="1" applyAlignment="1">
      <alignment horizontal="left"/>
    </xf>
    <xf numFmtId="49" fontId="74" fillId="0" borderId="10" xfId="0" applyNumberFormat="1" applyFont="1" applyBorder="1" applyAlignment="1">
      <alignment horizontal="left"/>
    </xf>
    <xf numFmtId="4" fontId="68" fillId="36" borderId="10" xfId="0" applyNumberFormat="1" applyFont="1" applyFill="1" applyBorder="1" applyAlignment="1">
      <alignment horizontal="right"/>
    </xf>
    <xf numFmtId="0" fontId="74" fillId="0" borderId="10" xfId="0" applyFont="1" applyBorder="1" applyAlignment="1">
      <alignment horizontal="left" wrapText="1"/>
    </xf>
    <xf numFmtId="4" fontId="69" fillId="36" borderId="10" xfId="0" applyNumberFormat="1" applyFont="1" applyFill="1" applyBorder="1" applyAlignment="1">
      <alignment horizontal="right"/>
    </xf>
    <xf numFmtId="4" fontId="70" fillId="36" borderId="10" xfId="0" applyNumberFormat="1" applyFont="1" applyFill="1" applyBorder="1" applyAlignment="1">
      <alignment horizontal="right"/>
    </xf>
    <xf numFmtId="2" fontId="75" fillId="36" borderId="10" xfId="0" applyNumberFormat="1" applyFont="1" applyFill="1" applyBorder="1" applyAlignment="1">
      <alignment horizontal="left" wrapText="1"/>
    </xf>
    <xf numFmtId="2" fontId="74" fillId="36" borderId="10" xfId="0" applyNumberFormat="1" applyFont="1" applyFill="1" applyBorder="1" applyAlignment="1">
      <alignment horizontal="left" wrapText="1"/>
    </xf>
    <xf numFmtId="0" fontId="75" fillId="0" borderId="10" xfId="0" applyFont="1" applyBorder="1" applyAlignment="1">
      <alignment horizontal="left" wrapText="1"/>
    </xf>
    <xf numFmtId="49" fontId="10" fillId="32" borderId="10" xfId="0" applyNumberFormat="1" applyFont="1" applyFill="1" applyBorder="1" applyAlignment="1">
      <alignment horizontal="left" wrapText="1"/>
    </xf>
    <xf numFmtId="0" fontId="22" fillId="36" borderId="10" xfId="0" applyFont="1" applyFill="1" applyBorder="1" applyAlignment="1">
      <alignment horizontal="right" wrapText="1"/>
    </xf>
    <xf numFmtId="49" fontId="10" fillId="36" borderId="10" xfId="0" applyNumberFormat="1" applyFont="1" applyFill="1" applyBorder="1" applyAlignment="1">
      <alignment horizontal="left" wrapText="1"/>
    </xf>
    <xf numFmtId="2" fontId="22" fillId="32" borderId="10" xfId="0" applyNumberFormat="1" applyFont="1" applyFill="1" applyBorder="1" applyAlignment="1">
      <alignment horizontal="right" wrapText="1"/>
    </xf>
    <xf numFmtId="1" fontId="10" fillId="32" borderId="10" xfId="0" applyNumberFormat="1" applyFont="1" applyFill="1" applyBorder="1" applyAlignment="1">
      <alignment horizontal="right" wrapText="1"/>
    </xf>
    <xf numFmtId="4" fontId="10" fillId="32" borderId="10" xfId="0" applyNumberFormat="1" applyFont="1" applyFill="1" applyBorder="1" applyAlignment="1">
      <alignment horizontal="right" wrapText="1"/>
    </xf>
    <xf numFmtId="4" fontId="18" fillId="32" borderId="10" xfId="0" applyNumberFormat="1" applyFont="1" applyFill="1" applyBorder="1" applyAlignment="1">
      <alignment horizontal="right" wrapText="1"/>
    </xf>
    <xf numFmtId="185" fontId="10" fillId="32" borderId="10" xfId="0" applyNumberFormat="1" applyFont="1" applyFill="1" applyBorder="1" applyAlignment="1">
      <alignment horizontal="right" wrapText="1"/>
    </xf>
    <xf numFmtId="4" fontId="10" fillId="36" borderId="10" xfId="0" applyNumberFormat="1" applyFont="1" applyFill="1" applyBorder="1" applyAlignment="1">
      <alignment horizontal="right" wrapText="1"/>
    </xf>
    <xf numFmtId="185" fontId="10" fillId="36" borderId="10" xfId="0" applyNumberFormat="1" applyFont="1" applyFill="1" applyBorder="1" applyAlignment="1">
      <alignment horizontal="right" wrapText="1"/>
    </xf>
    <xf numFmtId="4" fontId="3" fillId="32" borderId="10" xfId="0" applyNumberFormat="1" applyFont="1" applyFill="1" applyBorder="1" applyAlignment="1">
      <alignment horizontal="right"/>
    </xf>
    <xf numFmtId="1" fontId="3" fillId="32" borderId="10" xfId="0" applyNumberFormat="1" applyFont="1" applyFill="1" applyBorder="1" applyAlignment="1">
      <alignment horizontal="right"/>
    </xf>
    <xf numFmtId="49" fontId="10" fillId="32" borderId="10" xfId="0" applyNumberFormat="1" applyFont="1" applyFill="1" applyBorder="1" applyAlignment="1">
      <alignment horizontal="right" wrapText="1"/>
    </xf>
    <xf numFmtId="4" fontId="3" fillId="36" borderId="10" xfId="0" applyNumberFormat="1" applyFont="1" applyFill="1" applyBorder="1" applyAlignment="1">
      <alignment horizontal="right"/>
    </xf>
    <xf numFmtId="1" fontId="3" fillId="36" borderId="10" xfId="0" applyNumberFormat="1" applyFont="1" applyFill="1" applyBorder="1" applyAlignment="1">
      <alignment horizontal="right"/>
    </xf>
    <xf numFmtId="49" fontId="10" fillId="36" borderId="10" xfId="0" applyNumberFormat="1" applyFont="1" applyFill="1" applyBorder="1" applyAlignment="1">
      <alignment horizontal="right" wrapText="1"/>
    </xf>
    <xf numFmtId="0" fontId="73" fillId="36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49" fontId="17" fillId="0" borderId="10" xfId="0" applyNumberFormat="1" applyFont="1" applyFill="1" applyBorder="1" applyAlignment="1">
      <alignment horizontal="left" wrapText="1"/>
    </xf>
    <xf numFmtId="0" fontId="17" fillId="36" borderId="10" xfId="0" applyFont="1" applyFill="1" applyBorder="1" applyAlignment="1">
      <alignment horizontal="right"/>
    </xf>
    <xf numFmtId="4" fontId="19" fillId="36" borderId="10" xfId="0" applyNumberFormat="1" applyFont="1" applyFill="1" applyBorder="1" applyAlignment="1">
      <alignment horizontal="right"/>
    </xf>
    <xf numFmtId="0" fontId="3" fillId="36" borderId="14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36" borderId="10" xfId="0" applyFont="1" applyFill="1" applyBorder="1" applyAlignment="1">
      <alignment horizontal="left"/>
    </xf>
    <xf numFmtId="4" fontId="15" fillId="36" borderId="10" xfId="0" applyNumberFormat="1" applyFont="1" applyFill="1" applyBorder="1" applyAlignment="1">
      <alignment horizontal="right"/>
    </xf>
    <xf numFmtId="0" fontId="73" fillId="32" borderId="10" xfId="0" applyFont="1" applyFill="1" applyBorder="1" applyAlignment="1">
      <alignment horizontal="left" wrapText="1"/>
    </xf>
    <xf numFmtId="4" fontId="18" fillId="36" borderId="10" xfId="0" applyNumberFormat="1" applyFont="1" applyFill="1" applyBorder="1" applyAlignment="1">
      <alignment horizontal="right" wrapText="1"/>
    </xf>
    <xf numFmtId="3" fontId="10" fillId="36" borderId="10" xfId="0" applyNumberFormat="1" applyFont="1" applyFill="1" applyBorder="1" applyAlignment="1">
      <alignment horizontal="right" wrapText="1"/>
    </xf>
    <xf numFmtId="1" fontId="10" fillId="36" borderId="10" xfId="0" applyNumberFormat="1" applyFont="1" applyFill="1" applyBorder="1" applyAlignment="1">
      <alignment horizontal="right" wrapText="1"/>
    </xf>
    <xf numFmtId="0" fontId="23" fillId="32" borderId="10" xfId="0" applyFont="1" applyFill="1" applyBorder="1" applyAlignment="1">
      <alignment horizontal="right"/>
    </xf>
    <xf numFmtId="0" fontId="24" fillId="32" borderId="10" xfId="0" applyFont="1" applyFill="1" applyBorder="1" applyAlignment="1">
      <alignment horizontal="right"/>
    </xf>
    <xf numFmtId="0" fontId="73" fillId="36" borderId="10" xfId="0" applyFont="1" applyFill="1" applyBorder="1" applyAlignment="1">
      <alignment horizontal="right" wrapText="1"/>
    </xf>
    <xf numFmtId="0" fontId="12" fillId="36" borderId="0" xfId="0" applyFont="1" applyFill="1" applyAlignment="1">
      <alignment horizontal="center" wrapText="1"/>
    </xf>
    <xf numFmtId="0" fontId="8" fillId="36" borderId="0" xfId="0" applyFont="1" applyFill="1" applyAlignment="1">
      <alignment horizontal="center"/>
    </xf>
    <xf numFmtId="0" fontId="8" fillId="32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76" fillId="0" borderId="0" xfId="0" applyFont="1" applyFill="1" applyAlignment="1">
      <alignment horizontal="right" wrapText="1"/>
    </xf>
    <xf numFmtId="0" fontId="17" fillId="36" borderId="14" xfId="0" applyFont="1" applyFill="1" applyBorder="1" applyAlignment="1">
      <alignment horizontal="left" vertical="center" wrapText="1"/>
    </xf>
    <xf numFmtId="0" fontId="17" fillId="36" borderId="16" xfId="0" applyFont="1" applyFill="1" applyBorder="1" applyAlignment="1">
      <alignment horizontal="left" vertical="center" wrapText="1"/>
    </xf>
    <xf numFmtId="0" fontId="2" fillId="32" borderId="17" xfId="0" applyFont="1" applyFill="1" applyBorder="1" applyAlignment="1">
      <alignment horizontal="right" vertical="top" wrapText="1"/>
    </xf>
    <xf numFmtId="0" fontId="17" fillId="36" borderId="14" xfId="0" applyFont="1" applyFill="1" applyBorder="1" applyAlignment="1">
      <alignment horizontal="left" wrapText="1"/>
    </xf>
    <xf numFmtId="0" fontId="17" fillId="36" borderId="16" xfId="0" applyFont="1" applyFill="1" applyBorder="1" applyAlignment="1">
      <alignment horizontal="left" wrapText="1"/>
    </xf>
    <xf numFmtId="0" fontId="6" fillId="32" borderId="17" xfId="0" applyFont="1" applyFill="1" applyBorder="1" applyAlignment="1">
      <alignment horizontal="right" vertical="top" wrapText="1"/>
    </xf>
    <xf numFmtId="0" fontId="12" fillId="36" borderId="0" xfId="0" applyFont="1" applyFill="1" applyAlignment="1">
      <alignment horizontal="center" vertical="justify"/>
    </xf>
    <xf numFmtId="0" fontId="12" fillId="36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0;&#1086;&#1085;&#1082;&#1091;&#1088;&#1089;&#1086;&#1074;%20&#1080;%20&#1082;&#1086;&#1085;&#1090;&#1088;&#1072;&#1082;&#1090;&#1086;&#1074;\&#1042;&#1077;&#1088;&#1082;&#1077;&#1077;&#1085;&#1082;&#1086;\&#1088;&#1077;&#1077;&#1089;&#1090;&#1088;%20&#1089;&#1077;&#1083;&#1086;\2016\5%20&#1092;&#1086;&#1088;&#1084;&#1072;%20&#1087;&#1086;%20&#1089;&#1077;&#1083;&#1100;&#1089;&#1080;&#1084;%20&#1076;&#1086;&#1088;&#1086;&#1075;&#1072;&#1084;%20(&#1082;%20&#1090;&#1077;&#1083;&#1077;&#1075;&#1088;&#1072;&#1084;&#1084;&#1077;)%202015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3 (2)"/>
    </sheetNames>
    <sheetDataSet>
      <sheetData sheetId="3">
        <row r="23">
          <cell r="B23" t="str">
            <v>Строительство автомобильной дороги Подъезд к МТФ № 1 в н.п. Медведи от автомобильной дороги Палужская Рудня - Заборье - Медведи на км 19+940  в Красногорском районе Брянской области </v>
          </cell>
        </row>
        <row r="24">
          <cell r="B24" t="str">
            <v>Строительство автомобильной дороги Подъезд к МТФ в н.п. Макаричи от автомобильной дороги Палужская Рудня - Заборье - Медведи на км 4+800  в Красногорском районе Брянской области </v>
          </cell>
        </row>
        <row r="25">
          <cell r="B25" t="str">
            <v>Строительство автомобильной дороги Подъезд к МТФ № 1 в н.п. Перелазы от автомобильной дороги Перелазы - Зеленая Дубрава на км 0+320  в Красногорском районе Брянской области </v>
          </cell>
        </row>
        <row r="26">
          <cell r="B26" t="str">
            <v>Строительство автомобильной дороги Подъезд к агрогородку "Гетманобудский"   от автомобильной дороги "Климово-Чуровичи" - Гетманова Буда на км 3+000  в Климовском районе Брянской области </v>
          </cell>
        </row>
        <row r="28">
          <cell r="B28" t="str">
            <v>Строительство автомобильной дороги Подъезд к МТФ в н.п. Курово ООО СП "Дружба"  от автомобильной дороги   "Брянск - Новозыбков" - Погар - Гремяч (обход г.Погара) на км 2+600   в Погарском районе Брянской области </v>
          </cell>
        </row>
        <row r="35">
          <cell r="B35" t="str">
            <v>Строительство автомобильной дороги Кветунь-Удолье  в Трубчевском районе Брянской области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2"/>
  <sheetViews>
    <sheetView view="pageBreakPreview" zoomScale="98" zoomScaleNormal="85" zoomScaleSheetLayoutView="98" zoomScalePageLayoutView="0" workbookViewId="0" topLeftCell="A1">
      <pane xSplit="12" ySplit="7" topLeftCell="M239" activePane="bottomRight" state="frozen"/>
      <selection pane="topLeft" activeCell="A1" sqref="A1"/>
      <selection pane="topRight" activeCell="L1" sqref="L1"/>
      <selection pane="bottomLeft" activeCell="A11" sqref="A11"/>
      <selection pane="bottomRight" activeCell="K104" sqref="K104"/>
    </sheetView>
  </sheetViews>
  <sheetFormatPr defaultColWidth="9.33203125" defaultRowHeight="12.75"/>
  <cols>
    <col min="1" max="1" width="51.5" style="18" customWidth="1"/>
    <col min="2" max="2" width="4" style="23" customWidth="1"/>
    <col min="3" max="3" width="4.66015625" style="23" customWidth="1"/>
    <col min="4" max="4" width="4.83203125" style="23" customWidth="1"/>
    <col min="5" max="5" width="6.16015625" style="23" customWidth="1"/>
    <col min="6" max="6" width="4" style="23" customWidth="1"/>
    <col min="7" max="7" width="4.16015625" style="23" customWidth="1"/>
    <col min="8" max="8" width="7" style="23" customWidth="1"/>
    <col min="9" max="9" width="5" style="23" customWidth="1"/>
    <col min="10" max="10" width="7" style="8" customWidth="1"/>
    <col min="11" max="11" width="9.33203125" style="8" customWidth="1"/>
    <col min="12" max="12" width="8.66015625" style="23" customWidth="1"/>
    <col min="13" max="13" width="16" style="11" customWidth="1"/>
    <col min="14" max="14" width="15.83203125" style="11" customWidth="1"/>
    <col min="15" max="15" width="16" style="11" customWidth="1"/>
    <col min="16" max="16" width="6.66015625" style="11" customWidth="1"/>
  </cols>
  <sheetData>
    <row r="1" spans="1:16" s="11" customFormat="1" ht="26.25" customHeight="1">
      <c r="A1" s="191" t="s">
        <v>395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6" ht="18" customHeight="1">
      <c r="A2" s="192" t="s">
        <v>396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</row>
    <row r="3" spans="1:16" ht="18.75" customHeight="1">
      <c r="A3" s="192" t="s">
        <v>397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</row>
    <row r="4" spans="1:16" s="11" customFormat="1" ht="21" customHeight="1">
      <c r="A4" s="193" t="s">
        <v>398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</row>
    <row r="5" spans="1:16" ht="16.5" customHeight="1">
      <c r="A5" s="198" t="s">
        <v>394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</row>
    <row r="6" spans="1:30" ht="52.5" customHeight="1">
      <c r="A6" s="59" t="s">
        <v>386</v>
      </c>
      <c r="B6" s="31" t="s">
        <v>387</v>
      </c>
      <c r="C6" s="31" t="s">
        <v>1</v>
      </c>
      <c r="D6" s="31" t="s">
        <v>180</v>
      </c>
      <c r="E6" s="31" t="s">
        <v>2</v>
      </c>
      <c r="F6" s="31" t="s">
        <v>3</v>
      </c>
      <c r="G6" s="31" t="s">
        <v>4</v>
      </c>
      <c r="H6" s="31" t="s">
        <v>5</v>
      </c>
      <c r="I6" s="31" t="s">
        <v>6</v>
      </c>
      <c r="J6" s="31" t="s">
        <v>388</v>
      </c>
      <c r="K6" s="31" t="s">
        <v>389</v>
      </c>
      <c r="L6" s="31" t="s">
        <v>56</v>
      </c>
      <c r="M6" s="59" t="s">
        <v>390</v>
      </c>
      <c r="N6" s="59" t="s">
        <v>391</v>
      </c>
      <c r="O6" s="59" t="s">
        <v>392</v>
      </c>
      <c r="P6" s="31" t="s">
        <v>393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17.25" customHeight="1">
      <c r="A7" s="33" t="s">
        <v>7</v>
      </c>
      <c r="B7" s="33" t="s">
        <v>8</v>
      </c>
      <c r="C7" s="33" t="s">
        <v>9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4">
        <v>13</v>
      </c>
      <c r="N7" s="35">
        <v>14</v>
      </c>
      <c r="O7" s="35">
        <v>15</v>
      </c>
      <c r="P7" s="35">
        <v>16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ht="24.75" customHeight="1">
      <c r="A8" s="60" t="s">
        <v>249</v>
      </c>
      <c r="B8" s="62"/>
      <c r="C8" s="62"/>
      <c r="D8" s="62"/>
      <c r="E8" s="62"/>
      <c r="F8" s="62"/>
      <c r="G8" s="62"/>
      <c r="H8" s="62"/>
      <c r="I8" s="62"/>
      <c r="J8" s="70"/>
      <c r="K8" s="70"/>
      <c r="L8" s="70"/>
      <c r="M8" s="80">
        <f>M10+M20+M47+M66+M82+M108+M215+M247</f>
        <v>817474596.72</v>
      </c>
      <c r="N8" s="80">
        <f>N10+N20+N47+N66+N82+N108+N215+N247</f>
        <v>247446232.8</v>
      </c>
      <c r="O8" s="80">
        <f>O10+O20+O47+O66+O82+O108+O215+O247</f>
        <v>281663143.47</v>
      </c>
      <c r="P8" s="61">
        <f>O8/M8*100</f>
        <v>34.455277827608725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ht="15" customHeight="1">
      <c r="A9" s="81" t="s">
        <v>55</v>
      </c>
      <c r="B9" s="62"/>
      <c r="C9" s="62"/>
      <c r="D9" s="62"/>
      <c r="E9" s="62"/>
      <c r="F9" s="62"/>
      <c r="G9" s="62"/>
      <c r="H9" s="62"/>
      <c r="I9" s="62"/>
      <c r="J9" s="70"/>
      <c r="K9" s="70"/>
      <c r="L9" s="70"/>
      <c r="M9" s="57"/>
      <c r="N9" s="64"/>
      <c r="O9" s="64"/>
      <c r="P9" s="61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s="11" customFormat="1" ht="38.25" customHeight="1">
      <c r="A10" s="82" t="s">
        <v>105</v>
      </c>
      <c r="B10" s="74" t="s">
        <v>94</v>
      </c>
      <c r="C10" s="60"/>
      <c r="D10" s="60"/>
      <c r="E10" s="60"/>
      <c r="F10" s="60"/>
      <c r="G10" s="60"/>
      <c r="H10" s="60"/>
      <c r="I10" s="60"/>
      <c r="J10" s="70"/>
      <c r="K10" s="70"/>
      <c r="L10" s="70"/>
      <c r="M10" s="83">
        <f aca="true" t="shared" si="0" ref="M10:O17">M11</f>
        <v>4737795</v>
      </c>
      <c r="N10" s="83">
        <f t="shared" si="0"/>
        <v>2228972.89</v>
      </c>
      <c r="O10" s="83">
        <f t="shared" si="0"/>
        <v>3735451.39</v>
      </c>
      <c r="P10" s="61">
        <f aca="true" t="shared" si="1" ref="P10:P72">O10/M10*100</f>
        <v>78.8436686264391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ht="38.25" customHeight="1">
      <c r="A11" s="84" t="s">
        <v>181</v>
      </c>
      <c r="B11" s="74" t="s">
        <v>94</v>
      </c>
      <c r="C11" s="74" t="s">
        <v>140</v>
      </c>
      <c r="D11" s="74" t="s">
        <v>182</v>
      </c>
      <c r="E11" s="60"/>
      <c r="F11" s="74"/>
      <c r="G11" s="74"/>
      <c r="H11" s="74"/>
      <c r="I11" s="74"/>
      <c r="J11" s="76"/>
      <c r="K11" s="76"/>
      <c r="L11" s="70" t="s">
        <v>251</v>
      </c>
      <c r="M11" s="80">
        <f t="shared" si="0"/>
        <v>4737795</v>
      </c>
      <c r="N11" s="80">
        <f t="shared" si="0"/>
        <v>2228972.89</v>
      </c>
      <c r="O11" s="80">
        <f t="shared" si="0"/>
        <v>3735451.39</v>
      </c>
      <c r="P11" s="61">
        <f t="shared" si="1"/>
        <v>78.8436686264391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ht="25.5" customHeight="1">
      <c r="A12" s="82" t="s">
        <v>28</v>
      </c>
      <c r="B12" s="74" t="s">
        <v>94</v>
      </c>
      <c r="C12" s="74" t="s">
        <v>140</v>
      </c>
      <c r="D12" s="74" t="s">
        <v>182</v>
      </c>
      <c r="E12" s="74">
        <v>819</v>
      </c>
      <c r="F12" s="74"/>
      <c r="G12" s="74"/>
      <c r="H12" s="74"/>
      <c r="I12" s="74"/>
      <c r="J12" s="76"/>
      <c r="K12" s="76"/>
      <c r="L12" s="70"/>
      <c r="M12" s="80">
        <f>M14</f>
        <v>4737795</v>
      </c>
      <c r="N12" s="80">
        <f>N14</f>
        <v>2228972.89</v>
      </c>
      <c r="O12" s="80">
        <f>O14</f>
        <v>3735451.39</v>
      </c>
      <c r="P12" s="61">
        <f t="shared" si="1"/>
        <v>78.8436686264391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24" customHeight="1">
      <c r="A13" s="82" t="s">
        <v>59</v>
      </c>
      <c r="B13" s="74" t="s">
        <v>94</v>
      </c>
      <c r="C13" s="74" t="s">
        <v>140</v>
      </c>
      <c r="D13" s="74" t="s">
        <v>182</v>
      </c>
      <c r="E13" s="74">
        <v>819</v>
      </c>
      <c r="F13" s="74"/>
      <c r="G13" s="74"/>
      <c r="H13" s="74"/>
      <c r="I13" s="74"/>
      <c r="J13" s="76"/>
      <c r="K13" s="76"/>
      <c r="L13" s="70"/>
      <c r="M13" s="80">
        <f>M14</f>
        <v>4737795</v>
      </c>
      <c r="N13" s="80">
        <f>N14</f>
        <v>2228972.89</v>
      </c>
      <c r="O13" s="80">
        <f>O14</f>
        <v>3735451.39</v>
      </c>
      <c r="P13" s="61">
        <f t="shared" si="1"/>
        <v>78.8436686264391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27.75" customHeight="1">
      <c r="A14" s="82" t="s">
        <v>93</v>
      </c>
      <c r="B14" s="74" t="s">
        <v>94</v>
      </c>
      <c r="C14" s="74" t="s">
        <v>140</v>
      </c>
      <c r="D14" s="74" t="s">
        <v>182</v>
      </c>
      <c r="E14" s="74">
        <v>819</v>
      </c>
      <c r="F14" s="74" t="s">
        <v>94</v>
      </c>
      <c r="G14" s="74"/>
      <c r="H14" s="74"/>
      <c r="I14" s="74"/>
      <c r="J14" s="76"/>
      <c r="K14" s="76"/>
      <c r="L14" s="70"/>
      <c r="M14" s="80">
        <f t="shared" si="0"/>
        <v>4737795</v>
      </c>
      <c r="N14" s="80">
        <f t="shared" si="0"/>
        <v>2228972.89</v>
      </c>
      <c r="O14" s="80">
        <f t="shared" si="0"/>
        <v>3735451.39</v>
      </c>
      <c r="P14" s="61">
        <f t="shared" si="1"/>
        <v>78.8436686264391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36" customHeight="1">
      <c r="A15" s="82" t="s">
        <v>95</v>
      </c>
      <c r="B15" s="74" t="s">
        <v>94</v>
      </c>
      <c r="C15" s="74" t="s">
        <v>140</v>
      </c>
      <c r="D15" s="74" t="s">
        <v>182</v>
      </c>
      <c r="E15" s="74">
        <v>819</v>
      </c>
      <c r="F15" s="74" t="s">
        <v>94</v>
      </c>
      <c r="G15" s="74" t="s">
        <v>20</v>
      </c>
      <c r="H15" s="74"/>
      <c r="I15" s="74"/>
      <c r="J15" s="76"/>
      <c r="K15" s="76"/>
      <c r="L15" s="70"/>
      <c r="M15" s="80">
        <f t="shared" si="0"/>
        <v>4737795</v>
      </c>
      <c r="N15" s="80">
        <f t="shared" si="0"/>
        <v>2228972.89</v>
      </c>
      <c r="O15" s="80">
        <f t="shared" si="0"/>
        <v>3735451.39</v>
      </c>
      <c r="P15" s="61">
        <f t="shared" si="1"/>
        <v>78.8436686264391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spans="1:30" ht="23.25" customHeight="1">
      <c r="A16" s="82" t="s">
        <v>30</v>
      </c>
      <c r="B16" s="74" t="s">
        <v>94</v>
      </c>
      <c r="C16" s="74" t="s">
        <v>140</v>
      </c>
      <c r="D16" s="74" t="s">
        <v>182</v>
      </c>
      <c r="E16" s="74">
        <v>819</v>
      </c>
      <c r="F16" s="74" t="s">
        <v>94</v>
      </c>
      <c r="G16" s="74" t="s">
        <v>20</v>
      </c>
      <c r="H16" s="74" t="s">
        <v>183</v>
      </c>
      <c r="I16" s="74"/>
      <c r="J16" s="76"/>
      <c r="K16" s="76"/>
      <c r="L16" s="70"/>
      <c r="M16" s="80">
        <f t="shared" si="0"/>
        <v>4737795</v>
      </c>
      <c r="N16" s="80">
        <f t="shared" si="0"/>
        <v>2228972.89</v>
      </c>
      <c r="O16" s="80">
        <f t="shared" si="0"/>
        <v>3735451.39</v>
      </c>
      <c r="P16" s="61">
        <f t="shared" si="1"/>
        <v>78.8436686264391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0" ht="39" customHeight="1">
      <c r="A17" s="82" t="s">
        <v>96</v>
      </c>
      <c r="B17" s="74" t="s">
        <v>94</v>
      </c>
      <c r="C17" s="74" t="s">
        <v>140</v>
      </c>
      <c r="D17" s="74" t="s">
        <v>182</v>
      </c>
      <c r="E17" s="74">
        <v>819</v>
      </c>
      <c r="F17" s="74" t="s">
        <v>94</v>
      </c>
      <c r="G17" s="74" t="s">
        <v>20</v>
      </c>
      <c r="H17" s="74" t="s">
        <v>183</v>
      </c>
      <c r="I17" s="74" t="s">
        <v>32</v>
      </c>
      <c r="J17" s="76"/>
      <c r="K17" s="76"/>
      <c r="L17" s="70"/>
      <c r="M17" s="80">
        <f t="shared" si="0"/>
        <v>4737795</v>
      </c>
      <c r="N17" s="80">
        <f t="shared" si="0"/>
        <v>2228972.89</v>
      </c>
      <c r="O17" s="80">
        <f t="shared" si="0"/>
        <v>3735451.39</v>
      </c>
      <c r="P17" s="61">
        <f t="shared" si="1"/>
        <v>78.8436686264391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spans="1:30" ht="39" customHeight="1">
      <c r="A18" s="81" t="s">
        <v>97</v>
      </c>
      <c r="B18" s="75" t="s">
        <v>94</v>
      </c>
      <c r="C18" s="75" t="s">
        <v>140</v>
      </c>
      <c r="D18" s="75" t="s">
        <v>182</v>
      </c>
      <c r="E18" s="75">
        <v>819</v>
      </c>
      <c r="F18" s="75" t="s">
        <v>94</v>
      </c>
      <c r="G18" s="75" t="s">
        <v>20</v>
      </c>
      <c r="H18" s="75" t="s">
        <v>183</v>
      </c>
      <c r="I18" s="75" t="s">
        <v>32</v>
      </c>
      <c r="J18" s="76" t="s">
        <v>113</v>
      </c>
      <c r="K18" s="76" t="s">
        <v>114</v>
      </c>
      <c r="L18" s="76" t="s">
        <v>231</v>
      </c>
      <c r="M18" s="57">
        <f>5137500-419705+20000</f>
        <v>4737795</v>
      </c>
      <c r="N18" s="40">
        <f>3735451.39-1506478.5</f>
        <v>2228972.89</v>
      </c>
      <c r="O18" s="40">
        <v>3735451.39</v>
      </c>
      <c r="P18" s="66">
        <f t="shared" si="1"/>
        <v>78.8436686264391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</row>
    <row r="19" spans="1:16" s="14" customFormat="1" ht="23.25" customHeight="1">
      <c r="A19" s="85" t="s">
        <v>200</v>
      </c>
      <c r="B19" s="75"/>
      <c r="C19" s="75"/>
      <c r="D19" s="75"/>
      <c r="E19" s="75"/>
      <c r="F19" s="75"/>
      <c r="G19" s="75"/>
      <c r="H19" s="75"/>
      <c r="I19" s="75"/>
      <c r="J19" s="76"/>
      <c r="K19" s="76"/>
      <c r="L19" s="76"/>
      <c r="M19" s="86">
        <f>1497578.5+8900</f>
        <v>1506478.5</v>
      </c>
      <c r="N19" s="50">
        <v>0</v>
      </c>
      <c r="O19" s="44">
        <v>1506478.5</v>
      </c>
      <c r="P19" s="69">
        <f t="shared" si="1"/>
        <v>100</v>
      </c>
    </row>
    <row r="20" spans="1:30" ht="25.5" customHeight="1">
      <c r="A20" s="82" t="s">
        <v>25</v>
      </c>
      <c r="B20" s="60" t="s">
        <v>22</v>
      </c>
      <c r="C20" s="60">
        <v>0</v>
      </c>
      <c r="D20" s="60"/>
      <c r="E20" s="62"/>
      <c r="F20" s="62"/>
      <c r="G20" s="62"/>
      <c r="H20" s="62"/>
      <c r="I20" s="62"/>
      <c r="J20" s="70"/>
      <c r="K20" s="70"/>
      <c r="L20" s="70"/>
      <c r="M20" s="83">
        <f>M22+M32</f>
        <v>441740933.6</v>
      </c>
      <c r="N20" s="83">
        <f>N22+N32</f>
        <v>74983283.06</v>
      </c>
      <c r="O20" s="83">
        <f>O22+O32</f>
        <v>64249625.06</v>
      </c>
      <c r="P20" s="61">
        <f t="shared" si="1"/>
        <v>14.544639215658142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s="11" customFormat="1" ht="20.25" customHeight="1">
      <c r="A21" s="82" t="s">
        <v>187</v>
      </c>
      <c r="B21" s="60">
        <v>14</v>
      </c>
      <c r="C21" s="60">
        <v>0</v>
      </c>
      <c r="D21" s="60">
        <v>18</v>
      </c>
      <c r="E21" s="62"/>
      <c r="F21" s="62"/>
      <c r="G21" s="62"/>
      <c r="H21" s="62"/>
      <c r="I21" s="62"/>
      <c r="J21" s="70"/>
      <c r="K21" s="70"/>
      <c r="L21" s="70"/>
      <c r="M21" s="83">
        <f>M22+M32</f>
        <v>441740933.6</v>
      </c>
      <c r="N21" s="83">
        <f>N22+N32</f>
        <v>74983283.06</v>
      </c>
      <c r="O21" s="83">
        <f>O22+O32</f>
        <v>64249625.06</v>
      </c>
      <c r="P21" s="61">
        <f t="shared" si="1"/>
        <v>14.544639215658142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1:30" ht="19.5" customHeight="1">
      <c r="A22" s="82" t="s">
        <v>88</v>
      </c>
      <c r="B22" s="60">
        <v>14</v>
      </c>
      <c r="C22" s="60">
        <v>0</v>
      </c>
      <c r="D22" s="60">
        <v>18</v>
      </c>
      <c r="E22" s="60">
        <v>814</v>
      </c>
      <c r="F22" s="62"/>
      <c r="G22" s="62"/>
      <c r="H22" s="62"/>
      <c r="I22" s="62"/>
      <c r="J22" s="70"/>
      <c r="K22" s="70"/>
      <c r="L22" s="70"/>
      <c r="M22" s="80">
        <f>M23</f>
        <v>382393503.6</v>
      </c>
      <c r="N22" s="80">
        <f aca="true" t="shared" si="2" ref="N22:O24">N23</f>
        <v>23154573.14</v>
      </c>
      <c r="O22" s="80">
        <f t="shared" si="2"/>
        <v>10528147.82</v>
      </c>
      <c r="P22" s="61">
        <f t="shared" si="1"/>
        <v>2.7532235042917708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spans="1:30" s="11" customFormat="1" ht="18" customHeight="1">
      <c r="A23" s="82" t="s">
        <v>24</v>
      </c>
      <c r="B23" s="60">
        <v>14</v>
      </c>
      <c r="C23" s="60">
        <v>0</v>
      </c>
      <c r="D23" s="60">
        <v>18</v>
      </c>
      <c r="E23" s="60">
        <v>814</v>
      </c>
      <c r="F23" s="74" t="s">
        <v>20</v>
      </c>
      <c r="G23" s="62"/>
      <c r="H23" s="62"/>
      <c r="I23" s="62"/>
      <c r="J23" s="70"/>
      <c r="K23" s="70"/>
      <c r="L23" s="70"/>
      <c r="M23" s="80">
        <f>M24</f>
        <v>382393503.6</v>
      </c>
      <c r="N23" s="80">
        <f t="shared" si="2"/>
        <v>23154573.14</v>
      </c>
      <c r="O23" s="80">
        <f t="shared" si="2"/>
        <v>10528147.82</v>
      </c>
      <c r="P23" s="61">
        <f t="shared" si="1"/>
        <v>2.7532235042917708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spans="1:30" s="11" customFormat="1" ht="18.75" customHeight="1">
      <c r="A24" s="82" t="s">
        <v>26</v>
      </c>
      <c r="B24" s="60">
        <v>14</v>
      </c>
      <c r="C24" s="60">
        <v>0</v>
      </c>
      <c r="D24" s="60">
        <v>18</v>
      </c>
      <c r="E24" s="60">
        <v>814</v>
      </c>
      <c r="F24" s="74" t="s">
        <v>20</v>
      </c>
      <c r="G24" s="74" t="s">
        <v>12</v>
      </c>
      <c r="H24" s="62"/>
      <c r="I24" s="62"/>
      <c r="J24" s="70"/>
      <c r="K24" s="70"/>
      <c r="L24" s="70"/>
      <c r="M24" s="80">
        <f>M25</f>
        <v>382393503.6</v>
      </c>
      <c r="N24" s="80">
        <f t="shared" si="2"/>
        <v>23154573.14</v>
      </c>
      <c r="O24" s="80">
        <f t="shared" si="2"/>
        <v>10528147.82</v>
      </c>
      <c r="P24" s="61">
        <f t="shared" si="1"/>
        <v>2.7532235042917708</v>
      </c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</row>
    <row r="25" spans="1:30" s="11" customFormat="1" ht="53.25" customHeight="1">
      <c r="A25" s="82" t="s">
        <v>87</v>
      </c>
      <c r="B25" s="60" t="s">
        <v>22</v>
      </c>
      <c r="C25" s="60">
        <v>0</v>
      </c>
      <c r="D25" s="60">
        <v>18</v>
      </c>
      <c r="E25" s="60">
        <v>814</v>
      </c>
      <c r="F25" s="60" t="s">
        <v>20</v>
      </c>
      <c r="G25" s="60" t="s">
        <v>12</v>
      </c>
      <c r="H25" s="60">
        <v>13890</v>
      </c>
      <c r="I25" s="62"/>
      <c r="J25" s="70"/>
      <c r="K25" s="70"/>
      <c r="L25" s="70"/>
      <c r="M25" s="80">
        <f>M26+M29</f>
        <v>382393503.6</v>
      </c>
      <c r="N25" s="80">
        <f>N26+N29</f>
        <v>23154573.14</v>
      </c>
      <c r="O25" s="80">
        <f>O26+O29</f>
        <v>10528147.82</v>
      </c>
      <c r="P25" s="61">
        <f t="shared" si="1"/>
        <v>2.7532235042917708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1:30" ht="51.75" customHeight="1">
      <c r="A26" s="60" t="s">
        <v>199</v>
      </c>
      <c r="B26" s="60" t="s">
        <v>22</v>
      </c>
      <c r="C26" s="60">
        <v>0</v>
      </c>
      <c r="D26" s="60">
        <v>18</v>
      </c>
      <c r="E26" s="60">
        <v>814</v>
      </c>
      <c r="F26" s="60" t="s">
        <v>20</v>
      </c>
      <c r="G26" s="60" t="s">
        <v>12</v>
      </c>
      <c r="H26" s="60">
        <v>13890</v>
      </c>
      <c r="I26" s="60">
        <v>465</v>
      </c>
      <c r="J26" s="70"/>
      <c r="K26" s="70"/>
      <c r="L26" s="70"/>
      <c r="M26" s="80">
        <f>M28</f>
        <v>13210425.68</v>
      </c>
      <c r="N26" s="80">
        <f>N28</f>
        <v>274796</v>
      </c>
      <c r="O26" s="80">
        <f>O28</f>
        <v>3011712.9</v>
      </c>
      <c r="P26" s="61">
        <f t="shared" si="1"/>
        <v>22.798000404783323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spans="1:30" s="11" customFormat="1" ht="15.75" customHeight="1">
      <c r="A27" s="60" t="s">
        <v>106</v>
      </c>
      <c r="B27" s="60"/>
      <c r="C27" s="60"/>
      <c r="D27" s="60"/>
      <c r="E27" s="60"/>
      <c r="F27" s="60"/>
      <c r="G27" s="60"/>
      <c r="H27" s="60"/>
      <c r="I27" s="60"/>
      <c r="J27" s="70"/>
      <c r="K27" s="70"/>
      <c r="L27" s="70"/>
      <c r="M27" s="80">
        <f>M28</f>
        <v>13210425.68</v>
      </c>
      <c r="N27" s="80">
        <f>N28</f>
        <v>274796</v>
      </c>
      <c r="O27" s="80">
        <f>O28</f>
        <v>3011712.9</v>
      </c>
      <c r="P27" s="61">
        <f t="shared" si="1"/>
        <v>22.798000404783323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</row>
    <row r="28" spans="1:30" ht="26.25" customHeight="1">
      <c r="A28" s="62" t="s">
        <v>146</v>
      </c>
      <c r="B28" s="62" t="s">
        <v>22</v>
      </c>
      <c r="C28" s="62">
        <v>0</v>
      </c>
      <c r="D28" s="62">
        <v>18</v>
      </c>
      <c r="E28" s="62">
        <v>814</v>
      </c>
      <c r="F28" s="62" t="s">
        <v>20</v>
      </c>
      <c r="G28" s="62" t="s">
        <v>12</v>
      </c>
      <c r="H28" s="62">
        <v>13890</v>
      </c>
      <c r="I28" s="62">
        <v>465</v>
      </c>
      <c r="J28" s="70" t="s">
        <v>83</v>
      </c>
      <c r="K28" s="70">
        <v>130</v>
      </c>
      <c r="L28" s="70">
        <v>2016</v>
      </c>
      <c r="M28" s="57">
        <v>13210425.68</v>
      </c>
      <c r="N28" s="64">
        <v>274796</v>
      </c>
      <c r="O28" s="64">
        <v>3011712.9</v>
      </c>
      <c r="P28" s="66">
        <f t="shared" si="1"/>
        <v>22.798000404783323</v>
      </c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1:30" s="11" customFormat="1" ht="39" customHeight="1">
      <c r="A29" s="60" t="s">
        <v>170</v>
      </c>
      <c r="B29" s="60" t="s">
        <v>22</v>
      </c>
      <c r="C29" s="60">
        <v>0</v>
      </c>
      <c r="D29" s="60">
        <v>18</v>
      </c>
      <c r="E29" s="60">
        <v>814</v>
      </c>
      <c r="F29" s="60" t="s">
        <v>20</v>
      </c>
      <c r="G29" s="60" t="s">
        <v>12</v>
      </c>
      <c r="H29" s="60">
        <v>13890</v>
      </c>
      <c r="I29" s="60">
        <v>823</v>
      </c>
      <c r="J29" s="70"/>
      <c r="K29" s="70"/>
      <c r="L29" s="70"/>
      <c r="M29" s="80">
        <f aca="true" t="shared" si="3" ref="M29:O30">M30</f>
        <v>369183077.92</v>
      </c>
      <c r="N29" s="80">
        <f t="shared" si="3"/>
        <v>22879777.14</v>
      </c>
      <c r="O29" s="80">
        <f t="shared" si="3"/>
        <v>7516434.92</v>
      </c>
      <c r="P29" s="61">
        <f t="shared" si="1"/>
        <v>2.0359640973654733</v>
      </c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1:30" s="11" customFormat="1" ht="51" customHeight="1">
      <c r="A30" s="82" t="s">
        <v>100</v>
      </c>
      <c r="B30" s="60">
        <v>14</v>
      </c>
      <c r="C30" s="60">
        <v>0</v>
      </c>
      <c r="D30" s="60">
        <v>18</v>
      </c>
      <c r="E30" s="60">
        <v>814</v>
      </c>
      <c r="F30" s="60" t="s">
        <v>20</v>
      </c>
      <c r="G30" s="60" t="s">
        <v>12</v>
      </c>
      <c r="H30" s="60">
        <v>13890</v>
      </c>
      <c r="I30" s="60">
        <v>823</v>
      </c>
      <c r="J30" s="70"/>
      <c r="K30" s="70"/>
      <c r="L30" s="70"/>
      <c r="M30" s="80">
        <f t="shared" si="3"/>
        <v>369183077.92</v>
      </c>
      <c r="N30" s="80">
        <f t="shared" si="3"/>
        <v>22879777.14</v>
      </c>
      <c r="O30" s="80">
        <f t="shared" si="3"/>
        <v>7516434.92</v>
      </c>
      <c r="P30" s="61">
        <f t="shared" si="1"/>
        <v>2.0359640973654733</v>
      </c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</row>
    <row r="31" spans="1:30" s="11" customFormat="1" ht="27" customHeight="1">
      <c r="A31" s="62" t="s">
        <v>146</v>
      </c>
      <c r="B31" s="62">
        <v>14</v>
      </c>
      <c r="C31" s="62">
        <v>0</v>
      </c>
      <c r="D31" s="62">
        <v>18</v>
      </c>
      <c r="E31" s="62">
        <v>814</v>
      </c>
      <c r="F31" s="62" t="s">
        <v>20</v>
      </c>
      <c r="G31" s="62" t="s">
        <v>12</v>
      </c>
      <c r="H31" s="62">
        <v>13890</v>
      </c>
      <c r="I31" s="62">
        <v>823</v>
      </c>
      <c r="J31" s="70" t="s">
        <v>83</v>
      </c>
      <c r="K31" s="70">
        <v>130</v>
      </c>
      <c r="L31" s="70">
        <v>2016</v>
      </c>
      <c r="M31" s="87">
        <v>369183077.92</v>
      </c>
      <c r="N31" s="64">
        <v>22879777.14</v>
      </c>
      <c r="O31" s="64">
        <v>7516434.92</v>
      </c>
      <c r="P31" s="66">
        <f t="shared" si="1"/>
        <v>2.0359640973654733</v>
      </c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spans="1:30" ht="26.25" customHeight="1">
      <c r="A32" s="82" t="s">
        <v>28</v>
      </c>
      <c r="B32" s="60">
        <v>14</v>
      </c>
      <c r="C32" s="60">
        <v>0</v>
      </c>
      <c r="D32" s="60">
        <v>18</v>
      </c>
      <c r="E32" s="60">
        <v>819</v>
      </c>
      <c r="F32" s="60"/>
      <c r="G32" s="62"/>
      <c r="H32" s="62"/>
      <c r="I32" s="62"/>
      <c r="J32" s="70"/>
      <c r="K32" s="70"/>
      <c r="L32" s="70"/>
      <c r="M32" s="83">
        <f aca="true" t="shared" si="4" ref="M32:O33">M33</f>
        <v>59347430</v>
      </c>
      <c r="N32" s="83">
        <f t="shared" si="4"/>
        <v>51828709.92</v>
      </c>
      <c r="O32" s="83">
        <f t="shared" si="4"/>
        <v>53721477.24</v>
      </c>
      <c r="P32" s="61">
        <f t="shared" si="1"/>
        <v>90.52030937144202</v>
      </c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1:30" ht="27" customHeight="1">
      <c r="A33" s="82" t="s">
        <v>59</v>
      </c>
      <c r="B33" s="60">
        <v>14</v>
      </c>
      <c r="C33" s="60">
        <v>0</v>
      </c>
      <c r="D33" s="60">
        <v>18</v>
      </c>
      <c r="E33" s="60">
        <v>819</v>
      </c>
      <c r="F33" s="60"/>
      <c r="G33" s="62"/>
      <c r="H33" s="62"/>
      <c r="I33" s="62"/>
      <c r="J33" s="70"/>
      <c r="K33" s="70"/>
      <c r="L33" s="70"/>
      <c r="M33" s="80">
        <f t="shared" si="4"/>
        <v>59347430</v>
      </c>
      <c r="N33" s="80">
        <f t="shared" si="4"/>
        <v>51828709.92</v>
      </c>
      <c r="O33" s="80">
        <f t="shared" si="4"/>
        <v>53721477.24</v>
      </c>
      <c r="P33" s="61">
        <f t="shared" si="1"/>
        <v>90.52030937144202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</row>
    <row r="34" spans="1:30" ht="15.75" customHeight="1">
      <c r="A34" s="82" t="s">
        <v>24</v>
      </c>
      <c r="B34" s="60" t="s">
        <v>22</v>
      </c>
      <c r="C34" s="60">
        <v>0</v>
      </c>
      <c r="D34" s="60">
        <v>18</v>
      </c>
      <c r="E34" s="60" t="s">
        <v>29</v>
      </c>
      <c r="F34" s="60" t="s">
        <v>20</v>
      </c>
      <c r="G34" s="60" t="s">
        <v>0</v>
      </c>
      <c r="H34" s="60" t="s">
        <v>0</v>
      </c>
      <c r="I34" s="60" t="s">
        <v>0</v>
      </c>
      <c r="J34" s="79"/>
      <c r="K34" s="79"/>
      <c r="L34" s="79"/>
      <c r="M34" s="80">
        <f>M35+M41</f>
        <v>59347430</v>
      </c>
      <c r="N34" s="80">
        <f>N35+N41</f>
        <v>51828709.92</v>
      </c>
      <c r="O34" s="80">
        <f>O35+O41</f>
        <v>53721477.24</v>
      </c>
      <c r="P34" s="61">
        <f t="shared" si="1"/>
        <v>90.52030937144202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1:30" s="1" customFormat="1" ht="15" customHeight="1">
      <c r="A35" s="82" t="s">
        <v>26</v>
      </c>
      <c r="B35" s="60" t="s">
        <v>22</v>
      </c>
      <c r="C35" s="60">
        <v>0</v>
      </c>
      <c r="D35" s="60">
        <v>18</v>
      </c>
      <c r="E35" s="60" t="s">
        <v>29</v>
      </c>
      <c r="F35" s="60" t="s">
        <v>20</v>
      </c>
      <c r="G35" s="60" t="s">
        <v>12</v>
      </c>
      <c r="H35" s="60" t="s">
        <v>0</v>
      </c>
      <c r="I35" s="60" t="s">
        <v>0</v>
      </c>
      <c r="J35" s="79"/>
      <c r="K35" s="79"/>
      <c r="L35" s="79"/>
      <c r="M35" s="80">
        <f aca="true" t="shared" si="5" ref="M35:O36">M36</f>
        <v>32947430</v>
      </c>
      <c r="N35" s="80">
        <f t="shared" si="5"/>
        <v>29438874.560000002</v>
      </c>
      <c r="O35" s="80">
        <f t="shared" si="5"/>
        <v>31390761.28</v>
      </c>
      <c r="P35" s="61">
        <f t="shared" si="1"/>
        <v>95.27529546310592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1:30" s="1" customFormat="1" ht="24" customHeight="1">
      <c r="A36" s="82" t="s">
        <v>30</v>
      </c>
      <c r="B36" s="60" t="s">
        <v>22</v>
      </c>
      <c r="C36" s="60">
        <v>0</v>
      </c>
      <c r="D36" s="60">
        <v>18</v>
      </c>
      <c r="E36" s="60" t="s">
        <v>29</v>
      </c>
      <c r="F36" s="60" t="s">
        <v>20</v>
      </c>
      <c r="G36" s="60" t="s">
        <v>12</v>
      </c>
      <c r="H36" s="60">
        <v>11260</v>
      </c>
      <c r="I36" s="60" t="s">
        <v>0</v>
      </c>
      <c r="J36" s="79"/>
      <c r="K36" s="79"/>
      <c r="L36" s="79"/>
      <c r="M36" s="80">
        <f t="shared" si="5"/>
        <v>32947430</v>
      </c>
      <c r="N36" s="80">
        <f t="shared" si="5"/>
        <v>29438874.560000002</v>
      </c>
      <c r="O36" s="80">
        <f t="shared" si="5"/>
        <v>31390761.28</v>
      </c>
      <c r="P36" s="61">
        <f t="shared" si="1"/>
        <v>95.27529546310592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</row>
    <row r="37" spans="1:30" s="1" customFormat="1" ht="38.25" customHeight="1">
      <c r="A37" s="82" t="s">
        <v>31</v>
      </c>
      <c r="B37" s="60" t="s">
        <v>22</v>
      </c>
      <c r="C37" s="60">
        <v>0</v>
      </c>
      <c r="D37" s="60">
        <v>18</v>
      </c>
      <c r="E37" s="60" t="s">
        <v>29</v>
      </c>
      <c r="F37" s="60" t="s">
        <v>20</v>
      </c>
      <c r="G37" s="60" t="s">
        <v>12</v>
      </c>
      <c r="H37" s="60">
        <v>11260</v>
      </c>
      <c r="I37" s="60" t="s">
        <v>32</v>
      </c>
      <c r="J37" s="79"/>
      <c r="K37" s="79"/>
      <c r="L37" s="79"/>
      <c r="M37" s="80">
        <f>M38+M40</f>
        <v>32947430</v>
      </c>
      <c r="N37" s="80">
        <f>N38+N40</f>
        <v>29438874.560000002</v>
      </c>
      <c r="O37" s="80">
        <f>O38+O40</f>
        <v>31390761.28</v>
      </c>
      <c r="P37" s="61">
        <f t="shared" si="1"/>
        <v>95.27529546310592</v>
      </c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8" spans="1:30" s="12" customFormat="1" ht="41.25" customHeight="1">
      <c r="A38" s="88" t="s">
        <v>147</v>
      </c>
      <c r="B38" s="77" t="s">
        <v>22</v>
      </c>
      <c r="C38" s="77">
        <v>0</v>
      </c>
      <c r="D38" s="62">
        <v>18</v>
      </c>
      <c r="E38" s="77" t="s">
        <v>29</v>
      </c>
      <c r="F38" s="77" t="s">
        <v>20</v>
      </c>
      <c r="G38" s="77" t="s">
        <v>12</v>
      </c>
      <c r="H38" s="62">
        <v>11260</v>
      </c>
      <c r="I38" s="77" t="s">
        <v>32</v>
      </c>
      <c r="J38" s="89" t="s">
        <v>115</v>
      </c>
      <c r="K38" s="89" t="s">
        <v>116</v>
      </c>
      <c r="L38" s="78">
        <v>2016</v>
      </c>
      <c r="M38" s="87">
        <f>18044700+10107730</f>
        <v>28152430</v>
      </c>
      <c r="N38" s="40">
        <f>26595761.28-1951886.72</f>
        <v>24643874.560000002</v>
      </c>
      <c r="O38" s="40">
        <v>26595761.28</v>
      </c>
      <c r="P38" s="66">
        <f t="shared" si="1"/>
        <v>94.4705706754266</v>
      </c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1:30" s="12" customFormat="1" ht="25.5" customHeight="1">
      <c r="A39" s="90" t="s">
        <v>235</v>
      </c>
      <c r="B39" s="77"/>
      <c r="C39" s="77"/>
      <c r="D39" s="62"/>
      <c r="E39" s="77"/>
      <c r="F39" s="77"/>
      <c r="G39" s="77"/>
      <c r="H39" s="62"/>
      <c r="I39" s="77"/>
      <c r="J39" s="89"/>
      <c r="K39" s="89"/>
      <c r="L39" s="78"/>
      <c r="M39" s="86">
        <v>1951886.72</v>
      </c>
      <c r="N39" s="50">
        <v>0</v>
      </c>
      <c r="O39" s="44">
        <v>1951886.72</v>
      </c>
      <c r="P39" s="69">
        <f t="shared" si="1"/>
        <v>100</v>
      </c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spans="1:30" s="12" customFormat="1" ht="27" customHeight="1">
      <c r="A40" s="62" t="s">
        <v>148</v>
      </c>
      <c r="B40" s="62" t="s">
        <v>22</v>
      </c>
      <c r="C40" s="62">
        <v>0</v>
      </c>
      <c r="D40" s="62">
        <v>18</v>
      </c>
      <c r="E40" s="62" t="s">
        <v>29</v>
      </c>
      <c r="F40" s="62" t="s">
        <v>20</v>
      </c>
      <c r="G40" s="62" t="s">
        <v>12</v>
      </c>
      <c r="H40" s="62">
        <v>11260</v>
      </c>
      <c r="I40" s="62" t="s">
        <v>32</v>
      </c>
      <c r="J40" s="68" t="s">
        <v>83</v>
      </c>
      <c r="K40" s="68">
        <v>126</v>
      </c>
      <c r="L40" s="68">
        <v>2018</v>
      </c>
      <c r="M40" s="57">
        <f>4755000+40000</f>
        <v>4795000</v>
      </c>
      <c r="N40" s="40">
        <v>4795000</v>
      </c>
      <c r="O40" s="40">
        <v>4795000</v>
      </c>
      <c r="P40" s="66">
        <f t="shared" si="1"/>
        <v>100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1:30" s="1" customFormat="1" ht="16.5" customHeight="1">
      <c r="A41" s="82" t="s">
        <v>27</v>
      </c>
      <c r="B41" s="60" t="s">
        <v>22</v>
      </c>
      <c r="C41" s="60">
        <v>0</v>
      </c>
      <c r="D41" s="60">
        <v>18</v>
      </c>
      <c r="E41" s="60" t="s">
        <v>29</v>
      </c>
      <c r="F41" s="60" t="s">
        <v>20</v>
      </c>
      <c r="G41" s="60" t="s">
        <v>13</v>
      </c>
      <c r="H41" s="60" t="s">
        <v>0</v>
      </c>
      <c r="I41" s="60" t="s">
        <v>0</v>
      </c>
      <c r="J41" s="79"/>
      <c r="K41" s="79"/>
      <c r="L41" s="79"/>
      <c r="M41" s="80">
        <f aca="true" t="shared" si="6" ref="M41:O42">M42</f>
        <v>26400000</v>
      </c>
      <c r="N41" s="80">
        <f t="shared" si="6"/>
        <v>22389835.36</v>
      </c>
      <c r="O41" s="80">
        <f t="shared" si="6"/>
        <v>22330715.96</v>
      </c>
      <c r="P41" s="61">
        <f t="shared" si="1"/>
        <v>84.58604530303032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</row>
    <row r="42" spans="1:30" s="1" customFormat="1" ht="27" customHeight="1">
      <c r="A42" s="82" t="s">
        <v>30</v>
      </c>
      <c r="B42" s="60" t="s">
        <v>22</v>
      </c>
      <c r="C42" s="60">
        <v>0</v>
      </c>
      <c r="D42" s="60">
        <v>18</v>
      </c>
      <c r="E42" s="60" t="s">
        <v>29</v>
      </c>
      <c r="F42" s="60" t="s">
        <v>20</v>
      </c>
      <c r="G42" s="60" t="s">
        <v>13</v>
      </c>
      <c r="H42" s="60">
        <v>11260</v>
      </c>
      <c r="I42" s="60" t="s">
        <v>0</v>
      </c>
      <c r="J42" s="79"/>
      <c r="K42" s="79"/>
      <c r="L42" s="79"/>
      <c r="M42" s="80">
        <f t="shared" si="6"/>
        <v>26400000</v>
      </c>
      <c r="N42" s="80">
        <f t="shared" si="6"/>
        <v>22389835.36</v>
      </c>
      <c r="O42" s="80">
        <f t="shared" si="6"/>
        <v>22330715.96</v>
      </c>
      <c r="P42" s="61">
        <f t="shared" si="1"/>
        <v>84.58604530303032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</row>
    <row r="43" spans="1:30" s="1" customFormat="1" ht="36.75" customHeight="1">
      <c r="A43" s="82" t="s">
        <v>31</v>
      </c>
      <c r="B43" s="60" t="s">
        <v>22</v>
      </c>
      <c r="C43" s="60">
        <v>0</v>
      </c>
      <c r="D43" s="60">
        <v>18</v>
      </c>
      <c r="E43" s="60" t="s">
        <v>29</v>
      </c>
      <c r="F43" s="60" t="s">
        <v>20</v>
      </c>
      <c r="G43" s="60" t="s">
        <v>13</v>
      </c>
      <c r="H43" s="60">
        <v>11260</v>
      </c>
      <c r="I43" s="60" t="s">
        <v>32</v>
      </c>
      <c r="J43" s="79"/>
      <c r="K43" s="79"/>
      <c r="L43" s="79"/>
      <c r="M43" s="80">
        <f>M44+M46</f>
        <v>26400000</v>
      </c>
      <c r="N43" s="80">
        <f>N44+N46</f>
        <v>22389835.36</v>
      </c>
      <c r="O43" s="80">
        <f>O44+O46</f>
        <v>22330715.96</v>
      </c>
      <c r="P43" s="61">
        <f t="shared" si="1"/>
        <v>84.58604530303032</v>
      </c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</row>
    <row r="44" spans="1:30" s="12" customFormat="1" ht="25.5" customHeight="1">
      <c r="A44" s="88" t="s">
        <v>149</v>
      </c>
      <c r="B44" s="77" t="s">
        <v>22</v>
      </c>
      <c r="C44" s="77">
        <v>0</v>
      </c>
      <c r="D44" s="62">
        <v>18</v>
      </c>
      <c r="E44" s="77" t="s">
        <v>29</v>
      </c>
      <c r="F44" s="77" t="s">
        <v>20</v>
      </c>
      <c r="G44" s="77" t="s">
        <v>13</v>
      </c>
      <c r="H44" s="62">
        <v>11260</v>
      </c>
      <c r="I44" s="77" t="s">
        <v>32</v>
      </c>
      <c r="J44" s="91" t="s">
        <v>221</v>
      </c>
      <c r="K44" s="78">
        <v>50</v>
      </c>
      <c r="L44" s="89">
        <v>2016</v>
      </c>
      <c r="M44" s="57">
        <f>10500000-449593+2900000+10000000</f>
        <v>22950407</v>
      </c>
      <c r="N44" s="40">
        <f>18978934.36-38692</f>
        <v>18940242.36</v>
      </c>
      <c r="O44" s="40">
        <v>18881122.96</v>
      </c>
      <c r="P44" s="66">
        <f t="shared" si="1"/>
        <v>82.26922929950653</v>
      </c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</row>
    <row r="45" spans="1:16" s="14" customFormat="1" ht="24.75" customHeight="1">
      <c r="A45" s="90" t="s">
        <v>200</v>
      </c>
      <c r="B45" s="62"/>
      <c r="C45" s="62"/>
      <c r="D45" s="62"/>
      <c r="E45" s="62"/>
      <c r="F45" s="62"/>
      <c r="G45" s="62"/>
      <c r="H45" s="62"/>
      <c r="I45" s="62"/>
      <c r="J45" s="68"/>
      <c r="K45" s="68"/>
      <c r="L45" s="72"/>
      <c r="M45" s="86">
        <v>38692</v>
      </c>
      <c r="N45" s="44">
        <v>0</v>
      </c>
      <c r="O45" s="44">
        <v>38692</v>
      </c>
      <c r="P45" s="69">
        <f t="shared" si="1"/>
        <v>100</v>
      </c>
    </row>
    <row r="46" spans="1:30" ht="38.25" customHeight="1">
      <c r="A46" s="88" t="s">
        <v>307</v>
      </c>
      <c r="B46" s="77" t="s">
        <v>22</v>
      </c>
      <c r="C46" s="77">
        <v>0</v>
      </c>
      <c r="D46" s="62">
        <v>18</v>
      </c>
      <c r="E46" s="77" t="s">
        <v>29</v>
      </c>
      <c r="F46" s="77" t="s">
        <v>20</v>
      </c>
      <c r="G46" s="77" t="s">
        <v>13</v>
      </c>
      <c r="H46" s="62">
        <v>11260</v>
      </c>
      <c r="I46" s="77" t="s">
        <v>32</v>
      </c>
      <c r="J46" s="92" t="s">
        <v>228</v>
      </c>
      <c r="K46" s="78">
        <v>75</v>
      </c>
      <c r="L46" s="78">
        <v>2016</v>
      </c>
      <c r="M46" s="57">
        <f>3000000+449593</f>
        <v>3449593</v>
      </c>
      <c r="N46" s="40">
        <v>3449593</v>
      </c>
      <c r="O46" s="40">
        <v>3449593</v>
      </c>
      <c r="P46" s="66">
        <f t="shared" si="1"/>
        <v>100</v>
      </c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</row>
    <row r="47" spans="1:30" ht="25.5" customHeight="1">
      <c r="A47" s="82" t="s">
        <v>33</v>
      </c>
      <c r="B47" s="60">
        <v>15</v>
      </c>
      <c r="C47" s="60">
        <v>0</v>
      </c>
      <c r="D47" s="60"/>
      <c r="E47" s="62"/>
      <c r="F47" s="62"/>
      <c r="G47" s="62"/>
      <c r="H47" s="62"/>
      <c r="I47" s="62"/>
      <c r="J47" s="70"/>
      <c r="K47" s="70"/>
      <c r="L47" s="70"/>
      <c r="M47" s="83">
        <f>M49+M56</f>
        <v>72795635</v>
      </c>
      <c r="N47" s="83">
        <f>N49+N56</f>
        <v>2658316.15</v>
      </c>
      <c r="O47" s="83">
        <f>O49+O56</f>
        <v>9089750.9</v>
      </c>
      <c r="P47" s="61">
        <f t="shared" si="1"/>
        <v>12.486670251588574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</row>
    <row r="48" spans="1:30" s="11" customFormat="1" ht="18.75" customHeight="1">
      <c r="A48" s="82" t="s">
        <v>186</v>
      </c>
      <c r="B48" s="60">
        <v>15</v>
      </c>
      <c r="C48" s="60">
        <v>0</v>
      </c>
      <c r="D48" s="60">
        <v>12</v>
      </c>
      <c r="E48" s="62"/>
      <c r="F48" s="62"/>
      <c r="G48" s="62"/>
      <c r="H48" s="62"/>
      <c r="I48" s="62"/>
      <c r="J48" s="70"/>
      <c r="K48" s="70"/>
      <c r="L48" s="70"/>
      <c r="M48" s="83">
        <f>M49+M56</f>
        <v>72795635</v>
      </c>
      <c r="N48" s="83">
        <f>N49+N56</f>
        <v>2658316.15</v>
      </c>
      <c r="O48" s="83">
        <f>O49+O56</f>
        <v>9089750.9</v>
      </c>
      <c r="P48" s="61">
        <f t="shared" si="1"/>
        <v>12.486670251588574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1:30" ht="27" customHeight="1">
      <c r="A49" s="82" t="s">
        <v>28</v>
      </c>
      <c r="B49" s="60">
        <v>15</v>
      </c>
      <c r="C49" s="60">
        <v>0</v>
      </c>
      <c r="D49" s="60">
        <v>12</v>
      </c>
      <c r="E49" s="60">
        <v>819</v>
      </c>
      <c r="F49" s="62"/>
      <c r="G49" s="62"/>
      <c r="H49" s="62"/>
      <c r="I49" s="62"/>
      <c r="J49" s="70"/>
      <c r="K49" s="70"/>
      <c r="L49" s="79"/>
      <c r="M49" s="83">
        <f aca="true" t="shared" si="7" ref="M49:O54">M50</f>
        <v>2850635</v>
      </c>
      <c r="N49" s="83">
        <f t="shared" si="7"/>
        <v>2658316.15</v>
      </c>
      <c r="O49" s="83">
        <f t="shared" si="7"/>
        <v>2658316.15</v>
      </c>
      <c r="P49" s="61">
        <f t="shared" si="1"/>
        <v>93.25347334892051</v>
      </c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</row>
    <row r="50" spans="1:30" ht="27" customHeight="1">
      <c r="A50" s="82" t="s">
        <v>59</v>
      </c>
      <c r="B50" s="60">
        <v>15</v>
      </c>
      <c r="C50" s="60">
        <v>0</v>
      </c>
      <c r="D50" s="60">
        <v>12</v>
      </c>
      <c r="E50" s="60">
        <v>819</v>
      </c>
      <c r="F50" s="62"/>
      <c r="G50" s="62"/>
      <c r="H50" s="62"/>
      <c r="I50" s="62"/>
      <c r="J50" s="70"/>
      <c r="K50" s="70"/>
      <c r="L50" s="79"/>
      <c r="M50" s="83">
        <f t="shared" si="7"/>
        <v>2850635</v>
      </c>
      <c r="N50" s="83">
        <f t="shared" si="7"/>
        <v>2658316.15</v>
      </c>
      <c r="O50" s="83">
        <f t="shared" si="7"/>
        <v>2658316.15</v>
      </c>
      <c r="P50" s="61">
        <f t="shared" si="1"/>
        <v>93.25347334892051</v>
      </c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ht="12.75">
      <c r="A51" s="82" t="s">
        <v>35</v>
      </c>
      <c r="B51" s="60" t="s">
        <v>34</v>
      </c>
      <c r="C51" s="60">
        <v>0</v>
      </c>
      <c r="D51" s="60">
        <v>12</v>
      </c>
      <c r="E51" s="60" t="s">
        <v>29</v>
      </c>
      <c r="F51" s="60" t="s">
        <v>17</v>
      </c>
      <c r="G51" s="60" t="s">
        <v>0</v>
      </c>
      <c r="H51" s="60" t="s">
        <v>0</v>
      </c>
      <c r="I51" s="60" t="s">
        <v>0</v>
      </c>
      <c r="J51" s="79"/>
      <c r="K51" s="79"/>
      <c r="L51" s="79"/>
      <c r="M51" s="83">
        <f t="shared" si="7"/>
        <v>2850635</v>
      </c>
      <c r="N51" s="83">
        <f t="shared" si="7"/>
        <v>2658316.15</v>
      </c>
      <c r="O51" s="83">
        <f t="shared" si="7"/>
        <v>2658316.15</v>
      </c>
      <c r="P51" s="61">
        <f t="shared" si="1"/>
        <v>93.25347334892051</v>
      </c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  <row r="52" spans="1:30" ht="12.75">
      <c r="A52" s="82" t="s">
        <v>36</v>
      </c>
      <c r="B52" s="60" t="s">
        <v>34</v>
      </c>
      <c r="C52" s="60">
        <v>0</v>
      </c>
      <c r="D52" s="60">
        <v>12</v>
      </c>
      <c r="E52" s="60" t="s">
        <v>29</v>
      </c>
      <c r="F52" s="60" t="s">
        <v>17</v>
      </c>
      <c r="G52" s="60" t="s">
        <v>12</v>
      </c>
      <c r="H52" s="60" t="s">
        <v>0</v>
      </c>
      <c r="I52" s="60" t="s">
        <v>0</v>
      </c>
      <c r="J52" s="79"/>
      <c r="K52" s="79"/>
      <c r="L52" s="79"/>
      <c r="M52" s="83">
        <f t="shared" si="7"/>
        <v>2850635</v>
      </c>
      <c r="N52" s="83">
        <f t="shared" si="7"/>
        <v>2658316.15</v>
      </c>
      <c r="O52" s="83">
        <f t="shared" si="7"/>
        <v>2658316.15</v>
      </c>
      <c r="P52" s="61">
        <f t="shared" si="1"/>
        <v>93.25347334892051</v>
      </c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</row>
    <row r="53" spans="1:30" ht="26.25" customHeight="1">
      <c r="A53" s="82" t="s">
        <v>30</v>
      </c>
      <c r="B53" s="60" t="s">
        <v>34</v>
      </c>
      <c r="C53" s="60">
        <v>0</v>
      </c>
      <c r="D53" s="60">
        <v>12</v>
      </c>
      <c r="E53" s="60" t="s">
        <v>29</v>
      </c>
      <c r="F53" s="60" t="s">
        <v>17</v>
      </c>
      <c r="G53" s="60" t="s">
        <v>12</v>
      </c>
      <c r="H53" s="60">
        <v>11260</v>
      </c>
      <c r="I53" s="60" t="s">
        <v>0</v>
      </c>
      <c r="J53" s="70"/>
      <c r="K53" s="70"/>
      <c r="L53" s="70"/>
      <c r="M53" s="83">
        <f t="shared" si="7"/>
        <v>2850635</v>
      </c>
      <c r="N53" s="83">
        <f t="shared" si="7"/>
        <v>2658316.15</v>
      </c>
      <c r="O53" s="83">
        <f t="shared" si="7"/>
        <v>2658316.15</v>
      </c>
      <c r="P53" s="61">
        <f t="shared" si="1"/>
        <v>93.25347334892051</v>
      </c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</row>
    <row r="54" spans="1:30" ht="36" customHeight="1">
      <c r="A54" s="82" t="s">
        <v>31</v>
      </c>
      <c r="B54" s="60" t="s">
        <v>34</v>
      </c>
      <c r="C54" s="60">
        <v>0</v>
      </c>
      <c r="D54" s="60">
        <v>12</v>
      </c>
      <c r="E54" s="60" t="s">
        <v>29</v>
      </c>
      <c r="F54" s="60" t="s">
        <v>17</v>
      </c>
      <c r="G54" s="60" t="s">
        <v>12</v>
      </c>
      <c r="H54" s="60">
        <v>11260</v>
      </c>
      <c r="I54" s="60" t="s">
        <v>32</v>
      </c>
      <c r="J54" s="70"/>
      <c r="K54" s="70"/>
      <c r="L54" s="70"/>
      <c r="M54" s="83">
        <f t="shared" si="7"/>
        <v>2850635</v>
      </c>
      <c r="N54" s="83">
        <f t="shared" si="7"/>
        <v>2658316.15</v>
      </c>
      <c r="O54" s="83">
        <f t="shared" si="7"/>
        <v>2658316.15</v>
      </c>
      <c r="P54" s="61">
        <f t="shared" si="1"/>
        <v>93.25347334892051</v>
      </c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</row>
    <row r="55" spans="1:30" s="10" customFormat="1" ht="27.75" customHeight="1">
      <c r="A55" s="81" t="s">
        <v>359</v>
      </c>
      <c r="B55" s="62" t="s">
        <v>34</v>
      </c>
      <c r="C55" s="62">
        <v>0</v>
      </c>
      <c r="D55" s="62">
        <v>12</v>
      </c>
      <c r="E55" s="62" t="s">
        <v>29</v>
      </c>
      <c r="F55" s="62" t="s">
        <v>17</v>
      </c>
      <c r="G55" s="62" t="s">
        <v>12</v>
      </c>
      <c r="H55" s="62">
        <v>11260</v>
      </c>
      <c r="I55" s="62" t="s">
        <v>32</v>
      </c>
      <c r="J55" s="72"/>
      <c r="K55" s="72"/>
      <c r="L55" s="72"/>
      <c r="M55" s="93">
        <f>2658317+192318</f>
        <v>2850635</v>
      </c>
      <c r="N55" s="40">
        <v>2658316.15</v>
      </c>
      <c r="O55" s="40">
        <v>2658316.15</v>
      </c>
      <c r="P55" s="66">
        <f t="shared" si="1"/>
        <v>93.25347334892051</v>
      </c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</row>
    <row r="56" spans="1:16" s="14" customFormat="1" ht="15.75" customHeight="1">
      <c r="A56" s="82" t="s">
        <v>143</v>
      </c>
      <c r="B56" s="60" t="s">
        <v>34</v>
      </c>
      <c r="C56" s="60">
        <v>0</v>
      </c>
      <c r="D56" s="60">
        <v>12</v>
      </c>
      <c r="E56" s="60">
        <v>815</v>
      </c>
      <c r="F56" s="62"/>
      <c r="G56" s="62"/>
      <c r="H56" s="62"/>
      <c r="I56" s="62"/>
      <c r="J56" s="72"/>
      <c r="K56" s="72"/>
      <c r="L56" s="72"/>
      <c r="M56" s="94">
        <f>M58</f>
        <v>69945000</v>
      </c>
      <c r="N56" s="94">
        <f>N58</f>
        <v>0</v>
      </c>
      <c r="O56" s="94">
        <f>O58</f>
        <v>6431434.75</v>
      </c>
      <c r="P56" s="61">
        <f t="shared" si="1"/>
        <v>9.19498856244192</v>
      </c>
    </row>
    <row r="57" spans="1:16" s="14" customFormat="1" ht="24.75" customHeight="1">
      <c r="A57" s="82" t="s">
        <v>217</v>
      </c>
      <c r="B57" s="60" t="s">
        <v>34</v>
      </c>
      <c r="C57" s="60">
        <v>0</v>
      </c>
      <c r="D57" s="60">
        <v>12</v>
      </c>
      <c r="E57" s="60">
        <v>815</v>
      </c>
      <c r="F57" s="62"/>
      <c r="G57" s="62"/>
      <c r="H57" s="62"/>
      <c r="I57" s="62"/>
      <c r="J57" s="72"/>
      <c r="K57" s="72"/>
      <c r="L57" s="72"/>
      <c r="M57" s="94">
        <f aca="true" t="shared" si="8" ref="M57:O58">M58</f>
        <v>69945000</v>
      </c>
      <c r="N57" s="94">
        <f t="shared" si="8"/>
        <v>0</v>
      </c>
      <c r="O57" s="94">
        <f t="shared" si="8"/>
        <v>6431434.75</v>
      </c>
      <c r="P57" s="61">
        <f t="shared" si="1"/>
        <v>9.19498856244192</v>
      </c>
    </row>
    <row r="58" spans="1:16" s="14" customFormat="1" ht="16.5" customHeight="1">
      <c r="A58" s="82" t="s">
        <v>35</v>
      </c>
      <c r="B58" s="60" t="s">
        <v>34</v>
      </c>
      <c r="C58" s="60">
        <v>0</v>
      </c>
      <c r="D58" s="60">
        <v>12</v>
      </c>
      <c r="E58" s="60">
        <v>815</v>
      </c>
      <c r="F58" s="60" t="s">
        <v>17</v>
      </c>
      <c r="G58" s="60" t="s">
        <v>0</v>
      </c>
      <c r="H58" s="62"/>
      <c r="I58" s="62"/>
      <c r="J58" s="72"/>
      <c r="K58" s="72"/>
      <c r="L58" s="72"/>
      <c r="M58" s="94">
        <f t="shared" si="8"/>
        <v>69945000</v>
      </c>
      <c r="N58" s="94">
        <f t="shared" si="8"/>
        <v>0</v>
      </c>
      <c r="O58" s="94">
        <f t="shared" si="8"/>
        <v>6431434.75</v>
      </c>
      <c r="P58" s="61">
        <f t="shared" si="1"/>
        <v>9.19498856244192</v>
      </c>
    </row>
    <row r="59" spans="1:16" s="14" customFormat="1" ht="15" customHeight="1">
      <c r="A59" s="82" t="s">
        <v>36</v>
      </c>
      <c r="B59" s="60" t="s">
        <v>34</v>
      </c>
      <c r="C59" s="60">
        <v>0</v>
      </c>
      <c r="D59" s="60">
        <v>12</v>
      </c>
      <c r="E59" s="60">
        <v>815</v>
      </c>
      <c r="F59" s="60" t="s">
        <v>17</v>
      </c>
      <c r="G59" s="60" t="s">
        <v>12</v>
      </c>
      <c r="H59" s="62"/>
      <c r="I59" s="62"/>
      <c r="J59" s="72"/>
      <c r="K59" s="72"/>
      <c r="L59" s="72"/>
      <c r="M59" s="94">
        <f>M60+M61</f>
        <v>69945000</v>
      </c>
      <c r="N59" s="94">
        <f>N60+N61</f>
        <v>0</v>
      </c>
      <c r="O59" s="94">
        <f>O60+O61</f>
        <v>6431434.75</v>
      </c>
      <c r="P59" s="61">
        <f t="shared" si="1"/>
        <v>9.19498856244192</v>
      </c>
    </row>
    <row r="60" spans="1:16" s="14" customFormat="1" ht="28.5" customHeight="1">
      <c r="A60" s="82" t="s">
        <v>30</v>
      </c>
      <c r="B60" s="60" t="s">
        <v>34</v>
      </c>
      <c r="C60" s="60">
        <v>0</v>
      </c>
      <c r="D60" s="60">
        <v>12</v>
      </c>
      <c r="E60" s="60">
        <v>815</v>
      </c>
      <c r="F60" s="60" t="s">
        <v>17</v>
      </c>
      <c r="G60" s="60" t="s">
        <v>12</v>
      </c>
      <c r="H60" s="60">
        <v>11260</v>
      </c>
      <c r="I60" s="62"/>
      <c r="J60" s="72"/>
      <c r="K60" s="72"/>
      <c r="L60" s="72"/>
      <c r="M60" s="94">
        <f aca="true" t="shared" si="9" ref="M60:O61">M62</f>
        <v>1665000</v>
      </c>
      <c r="N60" s="94">
        <f t="shared" si="9"/>
        <v>0</v>
      </c>
      <c r="O60" s="94">
        <f t="shared" si="9"/>
        <v>0</v>
      </c>
      <c r="P60" s="61">
        <f t="shared" si="1"/>
        <v>0</v>
      </c>
    </row>
    <row r="61" spans="1:16" s="14" customFormat="1" ht="47.25" customHeight="1">
      <c r="A61" s="82" t="s">
        <v>258</v>
      </c>
      <c r="B61" s="60" t="s">
        <v>34</v>
      </c>
      <c r="C61" s="60">
        <v>0</v>
      </c>
      <c r="D61" s="60">
        <v>12</v>
      </c>
      <c r="E61" s="60">
        <v>815</v>
      </c>
      <c r="F61" s="60" t="s">
        <v>17</v>
      </c>
      <c r="G61" s="60" t="s">
        <v>12</v>
      </c>
      <c r="H61" s="60" t="s">
        <v>259</v>
      </c>
      <c r="I61" s="62"/>
      <c r="J61" s="72"/>
      <c r="K61" s="72"/>
      <c r="L61" s="72"/>
      <c r="M61" s="94">
        <f t="shared" si="9"/>
        <v>68280000</v>
      </c>
      <c r="N61" s="94">
        <f t="shared" si="9"/>
        <v>0</v>
      </c>
      <c r="O61" s="94">
        <f t="shared" si="9"/>
        <v>6431434.75</v>
      </c>
      <c r="P61" s="61">
        <f t="shared" si="1"/>
        <v>9.41920730814294</v>
      </c>
    </row>
    <row r="62" spans="1:16" s="14" customFormat="1" ht="52.5" customHeight="1">
      <c r="A62" s="82" t="s">
        <v>144</v>
      </c>
      <c r="B62" s="60" t="s">
        <v>34</v>
      </c>
      <c r="C62" s="60">
        <v>0</v>
      </c>
      <c r="D62" s="60">
        <v>12</v>
      </c>
      <c r="E62" s="60">
        <v>815</v>
      </c>
      <c r="F62" s="60" t="s">
        <v>17</v>
      </c>
      <c r="G62" s="60" t="s">
        <v>12</v>
      </c>
      <c r="H62" s="60">
        <v>11260</v>
      </c>
      <c r="I62" s="60">
        <v>464</v>
      </c>
      <c r="J62" s="72"/>
      <c r="K62" s="72"/>
      <c r="L62" s="72"/>
      <c r="M62" s="94">
        <f>M65</f>
        <v>1665000</v>
      </c>
      <c r="N62" s="94">
        <f>N65</f>
        <v>0</v>
      </c>
      <c r="O62" s="94">
        <f>O65</f>
        <v>0</v>
      </c>
      <c r="P62" s="61">
        <f t="shared" si="1"/>
        <v>0</v>
      </c>
    </row>
    <row r="63" spans="1:16" s="14" customFormat="1" ht="51.75" customHeight="1">
      <c r="A63" s="82" t="s">
        <v>144</v>
      </c>
      <c r="B63" s="60" t="s">
        <v>34</v>
      </c>
      <c r="C63" s="60">
        <v>0</v>
      </c>
      <c r="D63" s="60">
        <v>12</v>
      </c>
      <c r="E63" s="60">
        <v>815</v>
      </c>
      <c r="F63" s="60" t="s">
        <v>17</v>
      </c>
      <c r="G63" s="60" t="s">
        <v>12</v>
      </c>
      <c r="H63" s="60" t="s">
        <v>259</v>
      </c>
      <c r="I63" s="60">
        <v>464</v>
      </c>
      <c r="J63" s="72"/>
      <c r="K63" s="72"/>
      <c r="L63" s="72"/>
      <c r="M63" s="94">
        <f>M64</f>
        <v>68280000</v>
      </c>
      <c r="N63" s="94">
        <f>N64</f>
        <v>0</v>
      </c>
      <c r="O63" s="94">
        <f>O64</f>
        <v>6431434.75</v>
      </c>
      <c r="P63" s="61">
        <f t="shared" si="1"/>
        <v>9.41920730814294</v>
      </c>
    </row>
    <row r="64" spans="1:16" s="14" customFormat="1" ht="27" customHeight="1">
      <c r="A64" s="81" t="s">
        <v>399</v>
      </c>
      <c r="B64" s="62" t="s">
        <v>34</v>
      </c>
      <c r="C64" s="62">
        <v>0</v>
      </c>
      <c r="D64" s="62">
        <v>12</v>
      </c>
      <c r="E64" s="62">
        <v>815</v>
      </c>
      <c r="F64" s="62" t="s">
        <v>17</v>
      </c>
      <c r="G64" s="62" t="s">
        <v>12</v>
      </c>
      <c r="H64" s="62" t="s">
        <v>259</v>
      </c>
      <c r="I64" s="62">
        <v>464</v>
      </c>
      <c r="J64" s="72"/>
      <c r="K64" s="72"/>
      <c r="L64" s="72"/>
      <c r="M64" s="93">
        <v>68280000</v>
      </c>
      <c r="N64" s="64"/>
      <c r="O64" s="64">
        <v>6431434.75</v>
      </c>
      <c r="P64" s="66">
        <f t="shared" si="1"/>
        <v>9.41920730814294</v>
      </c>
    </row>
    <row r="65" spans="1:16" s="14" customFormat="1" ht="39" customHeight="1">
      <c r="A65" s="81" t="s">
        <v>343</v>
      </c>
      <c r="B65" s="62" t="s">
        <v>34</v>
      </c>
      <c r="C65" s="62">
        <v>0</v>
      </c>
      <c r="D65" s="62">
        <v>12</v>
      </c>
      <c r="E65" s="62">
        <v>815</v>
      </c>
      <c r="F65" s="62" t="s">
        <v>17</v>
      </c>
      <c r="G65" s="62" t="s">
        <v>12</v>
      </c>
      <c r="H65" s="62">
        <v>11260</v>
      </c>
      <c r="I65" s="62">
        <v>464</v>
      </c>
      <c r="J65" s="72"/>
      <c r="K65" s="72"/>
      <c r="L65" s="72"/>
      <c r="M65" s="93">
        <v>1665000</v>
      </c>
      <c r="N65" s="64"/>
      <c r="O65" s="64"/>
      <c r="P65" s="66">
        <f t="shared" si="1"/>
        <v>0</v>
      </c>
    </row>
    <row r="66" spans="1:30" ht="27.75" customHeight="1">
      <c r="A66" s="82" t="s">
        <v>37</v>
      </c>
      <c r="B66" s="60">
        <v>16</v>
      </c>
      <c r="C66" s="60">
        <v>0</v>
      </c>
      <c r="D66" s="60"/>
      <c r="E66" s="60"/>
      <c r="F66" s="60"/>
      <c r="G66" s="60"/>
      <c r="H66" s="60"/>
      <c r="I66" s="60"/>
      <c r="J66" s="79"/>
      <c r="K66" s="79"/>
      <c r="L66" s="79"/>
      <c r="M66" s="83">
        <f>M68</f>
        <v>18205930</v>
      </c>
      <c r="N66" s="83">
        <f>N68</f>
        <v>320500</v>
      </c>
      <c r="O66" s="83">
        <f>O68</f>
        <v>624604.81</v>
      </c>
      <c r="P66" s="61">
        <f t="shared" si="1"/>
        <v>3.4307767304389287</v>
      </c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</row>
    <row r="67" spans="1:30" s="11" customFormat="1" ht="19.5" customHeight="1">
      <c r="A67" s="82" t="s">
        <v>185</v>
      </c>
      <c r="B67" s="60">
        <v>16</v>
      </c>
      <c r="C67" s="60">
        <v>0</v>
      </c>
      <c r="D67" s="60">
        <v>14</v>
      </c>
      <c r="E67" s="60"/>
      <c r="F67" s="60"/>
      <c r="G67" s="60"/>
      <c r="H67" s="60"/>
      <c r="I67" s="60"/>
      <c r="J67" s="79"/>
      <c r="K67" s="79"/>
      <c r="L67" s="79"/>
      <c r="M67" s="83">
        <f>M68</f>
        <v>18205930</v>
      </c>
      <c r="N67" s="83">
        <f aca="true" t="shared" si="10" ref="N67:O69">N68</f>
        <v>320500</v>
      </c>
      <c r="O67" s="83">
        <f t="shared" si="10"/>
        <v>624604.81</v>
      </c>
      <c r="P67" s="61">
        <f t="shared" si="1"/>
        <v>3.4307767304389287</v>
      </c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</row>
    <row r="68" spans="1:30" ht="26.25" customHeight="1">
      <c r="A68" s="82" t="s">
        <v>28</v>
      </c>
      <c r="B68" s="60" t="s">
        <v>38</v>
      </c>
      <c r="C68" s="60">
        <v>0</v>
      </c>
      <c r="D68" s="60">
        <v>14</v>
      </c>
      <c r="E68" s="60" t="s">
        <v>29</v>
      </c>
      <c r="F68" s="60" t="s">
        <v>0</v>
      </c>
      <c r="G68" s="60" t="s">
        <v>0</v>
      </c>
      <c r="H68" s="60" t="s">
        <v>0</v>
      </c>
      <c r="I68" s="60" t="s">
        <v>0</v>
      </c>
      <c r="J68" s="79"/>
      <c r="K68" s="79"/>
      <c r="L68" s="79"/>
      <c r="M68" s="83">
        <f>M69</f>
        <v>18205930</v>
      </c>
      <c r="N68" s="83">
        <f t="shared" si="10"/>
        <v>320500</v>
      </c>
      <c r="O68" s="83">
        <f t="shared" si="10"/>
        <v>624604.81</v>
      </c>
      <c r="P68" s="61">
        <f t="shared" si="1"/>
        <v>3.4307767304389287</v>
      </c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</row>
    <row r="69" spans="1:30" ht="24.75" customHeight="1">
      <c r="A69" s="82" t="s">
        <v>59</v>
      </c>
      <c r="B69" s="60">
        <v>16</v>
      </c>
      <c r="C69" s="60">
        <v>0</v>
      </c>
      <c r="D69" s="60">
        <v>14</v>
      </c>
      <c r="E69" s="60">
        <v>819</v>
      </c>
      <c r="F69" s="60"/>
      <c r="G69" s="60"/>
      <c r="H69" s="60"/>
      <c r="I69" s="60"/>
      <c r="J69" s="79"/>
      <c r="K69" s="79"/>
      <c r="L69" s="79"/>
      <c r="M69" s="83">
        <f>M70</f>
        <v>18205930</v>
      </c>
      <c r="N69" s="83">
        <f t="shared" si="10"/>
        <v>320500</v>
      </c>
      <c r="O69" s="83">
        <f t="shared" si="10"/>
        <v>624604.81</v>
      </c>
      <c r="P69" s="61">
        <f t="shared" si="1"/>
        <v>3.4307767304389287</v>
      </c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1:30" ht="12.75">
      <c r="A70" s="82" t="s">
        <v>18</v>
      </c>
      <c r="B70" s="60" t="s">
        <v>38</v>
      </c>
      <c r="C70" s="60">
        <v>0</v>
      </c>
      <c r="D70" s="60">
        <v>14</v>
      </c>
      <c r="E70" s="60" t="s">
        <v>29</v>
      </c>
      <c r="F70" s="60" t="s">
        <v>19</v>
      </c>
      <c r="G70" s="60" t="s">
        <v>0</v>
      </c>
      <c r="H70" s="60" t="s">
        <v>0</v>
      </c>
      <c r="I70" s="60" t="s">
        <v>0</v>
      </c>
      <c r="J70" s="79"/>
      <c r="K70" s="79"/>
      <c r="L70" s="79"/>
      <c r="M70" s="83">
        <f>M71+M78</f>
        <v>18205930</v>
      </c>
      <c r="N70" s="83">
        <f>N71+N78</f>
        <v>320500</v>
      </c>
      <c r="O70" s="83">
        <f>O71+O78</f>
        <v>624604.81</v>
      </c>
      <c r="P70" s="61">
        <f t="shared" si="1"/>
        <v>3.4307767304389287</v>
      </c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1:30" s="1" customFormat="1" ht="12.75">
      <c r="A71" s="82" t="s">
        <v>39</v>
      </c>
      <c r="B71" s="60" t="s">
        <v>38</v>
      </c>
      <c r="C71" s="60">
        <v>0</v>
      </c>
      <c r="D71" s="60">
        <v>14</v>
      </c>
      <c r="E71" s="60" t="s">
        <v>29</v>
      </c>
      <c r="F71" s="60" t="s">
        <v>19</v>
      </c>
      <c r="G71" s="60" t="s">
        <v>12</v>
      </c>
      <c r="H71" s="60" t="s">
        <v>0</v>
      </c>
      <c r="I71" s="60" t="s">
        <v>0</v>
      </c>
      <c r="J71" s="79"/>
      <c r="K71" s="79"/>
      <c r="L71" s="79"/>
      <c r="M71" s="83">
        <f aca="true" t="shared" si="11" ref="M71:O72">M72</f>
        <v>17885430</v>
      </c>
      <c r="N71" s="83">
        <f t="shared" si="11"/>
        <v>0</v>
      </c>
      <c r="O71" s="83">
        <f t="shared" si="11"/>
        <v>304104.81</v>
      </c>
      <c r="P71" s="61">
        <f t="shared" si="1"/>
        <v>1.70029353501705</v>
      </c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1:30" ht="28.5" customHeight="1">
      <c r="A72" s="82" t="s">
        <v>30</v>
      </c>
      <c r="B72" s="60" t="s">
        <v>38</v>
      </c>
      <c r="C72" s="60">
        <v>0</v>
      </c>
      <c r="D72" s="60">
        <v>14</v>
      </c>
      <c r="E72" s="60" t="s">
        <v>29</v>
      </c>
      <c r="F72" s="60" t="s">
        <v>19</v>
      </c>
      <c r="G72" s="60" t="s">
        <v>12</v>
      </c>
      <c r="H72" s="60">
        <v>11260</v>
      </c>
      <c r="I72" s="60" t="s">
        <v>0</v>
      </c>
      <c r="J72" s="79"/>
      <c r="K72" s="79"/>
      <c r="L72" s="79"/>
      <c r="M72" s="83">
        <f t="shared" si="11"/>
        <v>17885430</v>
      </c>
      <c r="N72" s="83">
        <f t="shared" si="11"/>
        <v>0</v>
      </c>
      <c r="O72" s="83">
        <f t="shared" si="11"/>
        <v>304104.81</v>
      </c>
      <c r="P72" s="61">
        <f t="shared" si="1"/>
        <v>1.70029353501705</v>
      </c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</row>
    <row r="73" spans="1:30" ht="38.25" customHeight="1">
      <c r="A73" s="82" t="s">
        <v>31</v>
      </c>
      <c r="B73" s="60" t="s">
        <v>38</v>
      </c>
      <c r="C73" s="60">
        <v>0</v>
      </c>
      <c r="D73" s="60">
        <v>14</v>
      </c>
      <c r="E73" s="60" t="s">
        <v>29</v>
      </c>
      <c r="F73" s="60" t="s">
        <v>19</v>
      </c>
      <c r="G73" s="60" t="s">
        <v>12</v>
      </c>
      <c r="H73" s="60">
        <v>11260</v>
      </c>
      <c r="I73" s="60" t="s">
        <v>32</v>
      </c>
      <c r="J73" s="79"/>
      <c r="K73" s="79"/>
      <c r="L73" s="79"/>
      <c r="M73" s="83">
        <f>M74+M76</f>
        <v>17885430</v>
      </c>
      <c r="N73" s="83">
        <f>N74+N76</f>
        <v>0</v>
      </c>
      <c r="O73" s="83">
        <f>O74+O76</f>
        <v>304104.81</v>
      </c>
      <c r="P73" s="61">
        <f aca="true" t="shared" si="12" ref="P73:P136">O73/M73*100</f>
        <v>1.70029353501705</v>
      </c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</row>
    <row r="74" spans="1:30" ht="25.5" customHeight="1">
      <c r="A74" s="81" t="s">
        <v>400</v>
      </c>
      <c r="B74" s="62" t="s">
        <v>38</v>
      </c>
      <c r="C74" s="62">
        <v>0</v>
      </c>
      <c r="D74" s="62">
        <v>14</v>
      </c>
      <c r="E74" s="62" t="s">
        <v>29</v>
      </c>
      <c r="F74" s="62" t="s">
        <v>19</v>
      </c>
      <c r="G74" s="62" t="s">
        <v>12</v>
      </c>
      <c r="H74" s="62">
        <v>11260</v>
      </c>
      <c r="I74" s="62">
        <v>414</v>
      </c>
      <c r="J74" s="70" t="s">
        <v>58</v>
      </c>
      <c r="K74" s="70">
        <v>115</v>
      </c>
      <c r="L74" s="70"/>
      <c r="M74" s="95">
        <v>17635430</v>
      </c>
      <c r="N74" s="95">
        <v>0</v>
      </c>
      <c r="O74" s="64">
        <v>54104.81</v>
      </c>
      <c r="P74" s="66">
        <f t="shared" si="12"/>
        <v>0.30679609173124783</v>
      </c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1:16" s="14" customFormat="1" ht="24.75" customHeight="1">
      <c r="A75" s="85" t="s">
        <v>200</v>
      </c>
      <c r="B75" s="62"/>
      <c r="C75" s="62"/>
      <c r="D75" s="62"/>
      <c r="E75" s="62"/>
      <c r="F75" s="62"/>
      <c r="G75" s="62"/>
      <c r="H75" s="62"/>
      <c r="I75" s="62"/>
      <c r="J75" s="72"/>
      <c r="K75" s="72"/>
      <c r="L75" s="72"/>
      <c r="M75" s="96">
        <v>17635430</v>
      </c>
      <c r="N75" s="96">
        <v>0</v>
      </c>
      <c r="O75" s="64">
        <v>54104.81</v>
      </c>
      <c r="P75" s="69">
        <f t="shared" si="12"/>
        <v>0.30679609173124783</v>
      </c>
    </row>
    <row r="76" spans="1:30" s="11" customFormat="1" ht="25.5" customHeight="1">
      <c r="A76" s="81" t="s">
        <v>150</v>
      </c>
      <c r="B76" s="62">
        <v>16</v>
      </c>
      <c r="C76" s="62">
        <v>0</v>
      </c>
      <c r="D76" s="62">
        <v>14</v>
      </c>
      <c r="E76" s="62">
        <v>819</v>
      </c>
      <c r="F76" s="75" t="s">
        <v>19</v>
      </c>
      <c r="G76" s="75" t="s">
        <v>12</v>
      </c>
      <c r="H76" s="62">
        <v>11260</v>
      </c>
      <c r="I76" s="62">
        <v>414</v>
      </c>
      <c r="J76" s="70" t="s">
        <v>58</v>
      </c>
      <c r="K76" s="70">
        <v>270</v>
      </c>
      <c r="L76" s="70"/>
      <c r="M76" s="95">
        <v>250000</v>
      </c>
      <c r="N76" s="64">
        <v>0</v>
      </c>
      <c r="O76" s="64">
        <v>250000</v>
      </c>
      <c r="P76" s="66">
        <f t="shared" si="12"/>
        <v>100</v>
      </c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</row>
    <row r="77" spans="1:16" s="14" customFormat="1" ht="26.25" customHeight="1">
      <c r="A77" s="85" t="s">
        <v>200</v>
      </c>
      <c r="B77" s="62"/>
      <c r="C77" s="62"/>
      <c r="D77" s="62"/>
      <c r="E77" s="62"/>
      <c r="F77" s="62"/>
      <c r="G77" s="62"/>
      <c r="H77" s="62"/>
      <c r="I77" s="62"/>
      <c r="J77" s="72"/>
      <c r="K77" s="72"/>
      <c r="L77" s="72"/>
      <c r="M77" s="97">
        <v>250000</v>
      </c>
      <c r="N77" s="67">
        <v>0</v>
      </c>
      <c r="O77" s="67">
        <v>250000</v>
      </c>
      <c r="P77" s="69">
        <f t="shared" si="12"/>
        <v>100</v>
      </c>
    </row>
    <row r="78" spans="1:30" s="1" customFormat="1" ht="15.75" customHeight="1">
      <c r="A78" s="82" t="s">
        <v>40</v>
      </c>
      <c r="B78" s="60" t="s">
        <v>38</v>
      </c>
      <c r="C78" s="60">
        <v>0</v>
      </c>
      <c r="D78" s="60">
        <v>14</v>
      </c>
      <c r="E78" s="60" t="s">
        <v>29</v>
      </c>
      <c r="F78" s="60" t="s">
        <v>19</v>
      </c>
      <c r="G78" s="60" t="s">
        <v>13</v>
      </c>
      <c r="H78" s="60" t="s">
        <v>0</v>
      </c>
      <c r="I78" s="60" t="s">
        <v>0</v>
      </c>
      <c r="J78" s="79"/>
      <c r="K78" s="79"/>
      <c r="L78" s="79"/>
      <c r="M78" s="83">
        <f>M79</f>
        <v>320500</v>
      </c>
      <c r="N78" s="83">
        <f aca="true" t="shared" si="13" ref="N78:O80">N79</f>
        <v>320500</v>
      </c>
      <c r="O78" s="83">
        <f t="shared" si="13"/>
        <v>320500</v>
      </c>
      <c r="P78" s="61">
        <f t="shared" si="12"/>
        <v>100</v>
      </c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</row>
    <row r="79" spans="1:30" ht="25.5" customHeight="1">
      <c r="A79" s="82" t="s">
        <v>30</v>
      </c>
      <c r="B79" s="60" t="s">
        <v>38</v>
      </c>
      <c r="C79" s="60">
        <v>0</v>
      </c>
      <c r="D79" s="60">
        <v>14</v>
      </c>
      <c r="E79" s="60" t="s">
        <v>29</v>
      </c>
      <c r="F79" s="60" t="s">
        <v>19</v>
      </c>
      <c r="G79" s="60" t="s">
        <v>13</v>
      </c>
      <c r="H79" s="60">
        <v>11260</v>
      </c>
      <c r="I79" s="60" t="s">
        <v>0</v>
      </c>
      <c r="J79" s="79"/>
      <c r="K79" s="79"/>
      <c r="L79" s="79"/>
      <c r="M79" s="83">
        <f>M80</f>
        <v>320500</v>
      </c>
      <c r="N79" s="83">
        <f t="shared" si="13"/>
        <v>320500</v>
      </c>
      <c r="O79" s="83">
        <f t="shared" si="13"/>
        <v>320500</v>
      </c>
      <c r="P79" s="61">
        <f t="shared" si="12"/>
        <v>100</v>
      </c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</row>
    <row r="80" spans="1:30" ht="37.5" customHeight="1">
      <c r="A80" s="82" t="s">
        <v>31</v>
      </c>
      <c r="B80" s="60" t="s">
        <v>38</v>
      </c>
      <c r="C80" s="60">
        <v>0</v>
      </c>
      <c r="D80" s="60">
        <v>14</v>
      </c>
      <c r="E80" s="60" t="s">
        <v>29</v>
      </c>
      <c r="F80" s="60" t="s">
        <v>19</v>
      </c>
      <c r="G80" s="60" t="s">
        <v>13</v>
      </c>
      <c r="H80" s="60">
        <v>11260</v>
      </c>
      <c r="I80" s="60" t="s">
        <v>32</v>
      </c>
      <c r="J80" s="79"/>
      <c r="K80" s="79"/>
      <c r="L80" s="79"/>
      <c r="M80" s="83">
        <f>M81</f>
        <v>320500</v>
      </c>
      <c r="N80" s="83">
        <f t="shared" si="13"/>
        <v>320500</v>
      </c>
      <c r="O80" s="83">
        <f t="shared" si="13"/>
        <v>320500</v>
      </c>
      <c r="P80" s="61">
        <f t="shared" si="12"/>
        <v>100</v>
      </c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</row>
    <row r="81" spans="1:30" s="13" customFormat="1" ht="37.5" customHeight="1">
      <c r="A81" s="88" t="s">
        <v>104</v>
      </c>
      <c r="B81" s="62" t="s">
        <v>38</v>
      </c>
      <c r="C81" s="62">
        <v>0</v>
      </c>
      <c r="D81" s="62">
        <v>14</v>
      </c>
      <c r="E81" s="62" t="s">
        <v>29</v>
      </c>
      <c r="F81" s="62" t="s">
        <v>19</v>
      </c>
      <c r="G81" s="62" t="s">
        <v>13</v>
      </c>
      <c r="H81" s="62">
        <v>11260</v>
      </c>
      <c r="I81" s="62" t="s">
        <v>32</v>
      </c>
      <c r="J81" s="72" t="s">
        <v>113</v>
      </c>
      <c r="K81" s="98">
        <v>6415.7</v>
      </c>
      <c r="L81" s="99"/>
      <c r="M81" s="87">
        <v>320500</v>
      </c>
      <c r="N81" s="54">
        <v>320500</v>
      </c>
      <c r="O81" s="54">
        <v>320500</v>
      </c>
      <c r="P81" s="66">
        <f t="shared" si="12"/>
        <v>100</v>
      </c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</row>
    <row r="82" spans="1:30" ht="40.5" customHeight="1">
      <c r="A82" s="82" t="s">
        <v>41</v>
      </c>
      <c r="B82" s="60" t="s">
        <v>42</v>
      </c>
      <c r="C82" s="62" t="s">
        <v>0</v>
      </c>
      <c r="D82" s="62"/>
      <c r="E82" s="62" t="s">
        <v>0</v>
      </c>
      <c r="F82" s="62" t="s">
        <v>0</v>
      </c>
      <c r="G82" s="62" t="s">
        <v>0</v>
      </c>
      <c r="H82" s="62" t="s">
        <v>0</v>
      </c>
      <c r="I82" s="62" t="s">
        <v>0</v>
      </c>
      <c r="J82" s="70"/>
      <c r="K82" s="70"/>
      <c r="L82" s="70"/>
      <c r="M82" s="83">
        <f>M91+M83</f>
        <v>13376973</v>
      </c>
      <c r="N82" s="83">
        <f>N91+N83</f>
        <v>3521087</v>
      </c>
      <c r="O82" s="83">
        <f>O91+O83</f>
        <v>3352663</v>
      </c>
      <c r="P82" s="61">
        <f t="shared" si="12"/>
        <v>25.062942117024534</v>
      </c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</row>
    <row r="83" spans="1:30" s="11" customFormat="1" ht="37.5" customHeight="1">
      <c r="A83" s="82" t="s">
        <v>253</v>
      </c>
      <c r="B83" s="60">
        <v>17</v>
      </c>
      <c r="C83" s="60">
        <v>6</v>
      </c>
      <c r="D83" s="62"/>
      <c r="E83" s="62"/>
      <c r="F83" s="62"/>
      <c r="G83" s="62"/>
      <c r="H83" s="62"/>
      <c r="I83" s="62"/>
      <c r="J83" s="70"/>
      <c r="K83" s="70"/>
      <c r="L83" s="70"/>
      <c r="M83" s="83">
        <f aca="true" t="shared" si="14" ref="M83:O84">M84</f>
        <v>8000000</v>
      </c>
      <c r="N83" s="83">
        <f t="shared" si="14"/>
        <v>0</v>
      </c>
      <c r="O83" s="83">
        <f t="shared" si="14"/>
        <v>0</v>
      </c>
      <c r="P83" s="61">
        <f t="shared" si="12"/>
        <v>0</v>
      </c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:30" s="11" customFormat="1" ht="51.75" customHeight="1">
      <c r="A84" s="82" t="s">
        <v>254</v>
      </c>
      <c r="B84" s="60">
        <v>17</v>
      </c>
      <c r="C84" s="60">
        <v>6</v>
      </c>
      <c r="D84" s="60">
        <v>61</v>
      </c>
      <c r="E84" s="62"/>
      <c r="F84" s="62"/>
      <c r="G84" s="62"/>
      <c r="H84" s="62"/>
      <c r="I84" s="62"/>
      <c r="J84" s="70"/>
      <c r="K84" s="70"/>
      <c r="L84" s="70"/>
      <c r="M84" s="83">
        <f t="shared" si="14"/>
        <v>8000000</v>
      </c>
      <c r="N84" s="83">
        <f t="shared" si="14"/>
        <v>0</v>
      </c>
      <c r="O84" s="83">
        <f t="shared" si="14"/>
        <v>0</v>
      </c>
      <c r="P84" s="61">
        <f t="shared" si="12"/>
        <v>0</v>
      </c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1:16" s="14" customFormat="1" ht="18" customHeight="1">
      <c r="A85" s="82" t="s">
        <v>122</v>
      </c>
      <c r="B85" s="60" t="s">
        <v>42</v>
      </c>
      <c r="C85" s="60">
        <v>6</v>
      </c>
      <c r="D85" s="60">
        <v>61</v>
      </c>
      <c r="E85" s="60">
        <v>817</v>
      </c>
      <c r="F85" s="62"/>
      <c r="G85" s="62"/>
      <c r="H85" s="62"/>
      <c r="I85" s="62"/>
      <c r="J85" s="72"/>
      <c r="K85" s="72"/>
      <c r="L85" s="72"/>
      <c r="M85" s="94">
        <v>8000000</v>
      </c>
      <c r="N85" s="94">
        <f>N86</f>
        <v>0</v>
      </c>
      <c r="O85" s="94">
        <f>O86</f>
        <v>0</v>
      </c>
      <c r="P85" s="61">
        <f t="shared" si="12"/>
        <v>0</v>
      </c>
    </row>
    <row r="86" spans="1:16" s="14" customFormat="1" ht="12.75">
      <c r="A86" s="100" t="s">
        <v>16</v>
      </c>
      <c r="B86" s="60" t="s">
        <v>42</v>
      </c>
      <c r="C86" s="60">
        <v>6</v>
      </c>
      <c r="D86" s="60">
        <v>61</v>
      </c>
      <c r="E86" s="60">
        <v>817</v>
      </c>
      <c r="F86" s="74" t="s">
        <v>14</v>
      </c>
      <c r="G86" s="74"/>
      <c r="H86" s="62"/>
      <c r="I86" s="62"/>
      <c r="J86" s="72"/>
      <c r="K86" s="72"/>
      <c r="L86" s="72"/>
      <c r="M86" s="94">
        <v>8000000</v>
      </c>
      <c r="N86" s="94">
        <f>N88</f>
        <v>0</v>
      </c>
      <c r="O86" s="94">
        <f>O88</f>
        <v>0</v>
      </c>
      <c r="P86" s="61">
        <f t="shared" si="12"/>
        <v>0</v>
      </c>
    </row>
    <row r="87" spans="1:16" s="14" customFormat="1" ht="12.75">
      <c r="A87" s="100" t="s">
        <v>124</v>
      </c>
      <c r="B87" s="60" t="s">
        <v>42</v>
      </c>
      <c r="C87" s="60">
        <v>6</v>
      </c>
      <c r="D87" s="60">
        <v>61</v>
      </c>
      <c r="E87" s="60">
        <v>817</v>
      </c>
      <c r="F87" s="74" t="s">
        <v>14</v>
      </c>
      <c r="G87" s="74" t="s">
        <v>15</v>
      </c>
      <c r="H87" s="62"/>
      <c r="I87" s="62"/>
      <c r="J87" s="72"/>
      <c r="K87" s="72"/>
      <c r="L87" s="72"/>
      <c r="M87" s="94">
        <v>8000000</v>
      </c>
      <c r="N87" s="94">
        <f aca="true" t="shared" si="15" ref="N87:O89">N88</f>
        <v>0</v>
      </c>
      <c r="O87" s="94">
        <f t="shared" si="15"/>
        <v>0</v>
      </c>
      <c r="P87" s="61">
        <f t="shared" si="12"/>
        <v>0</v>
      </c>
    </row>
    <row r="88" spans="1:16" s="14" customFormat="1" ht="24">
      <c r="A88" s="100" t="s">
        <v>255</v>
      </c>
      <c r="B88" s="60" t="s">
        <v>42</v>
      </c>
      <c r="C88" s="60">
        <v>6</v>
      </c>
      <c r="D88" s="60">
        <v>61</v>
      </c>
      <c r="E88" s="60">
        <v>817</v>
      </c>
      <c r="F88" s="74" t="s">
        <v>14</v>
      </c>
      <c r="G88" s="74" t="s">
        <v>15</v>
      </c>
      <c r="H88" s="60">
        <v>11340</v>
      </c>
      <c r="I88" s="62"/>
      <c r="J88" s="72"/>
      <c r="K88" s="72"/>
      <c r="L88" s="72"/>
      <c r="M88" s="94">
        <v>8000000</v>
      </c>
      <c r="N88" s="94">
        <f t="shared" si="15"/>
        <v>0</v>
      </c>
      <c r="O88" s="94">
        <f t="shared" si="15"/>
        <v>0</v>
      </c>
      <c r="P88" s="61">
        <f t="shared" si="12"/>
        <v>0</v>
      </c>
    </row>
    <row r="89" spans="1:16" s="14" customFormat="1" ht="63.75" customHeight="1">
      <c r="A89" s="82" t="s">
        <v>256</v>
      </c>
      <c r="B89" s="60" t="s">
        <v>42</v>
      </c>
      <c r="C89" s="60">
        <v>6</v>
      </c>
      <c r="D89" s="60">
        <v>61</v>
      </c>
      <c r="E89" s="60">
        <v>817</v>
      </c>
      <c r="F89" s="74" t="s">
        <v>14</v>
      </c>
      <c r="G89" s="74" t="s">
        <v>15</v>
      </c>
      <c r="H89" s="60">
        <v>11340</v>
      </c>
      <c r="I89" s="60">
        <v>466</v>
      </c>
      <c r="J89" s="72"/>
      <c r="K89" s="72"/>
      <c r="L89" s="72"/>
      <c r="M89" s="94">
        <f>M90</f>
        <v>8000000</v>
      </c>
      <c r="N89" s="94">
        <f t="shared" si="15"/>
        <v>0</v>
      </c>
      <c r="O89" s="94">
        <f t="shared" si="15"/>
        <v>0</v>
      </c>
      <c r="P89" s="61">
        <f t="shared" si="12"/>
        <v>0</v>
      </c>
    </row>
    <row r="90" spans="1:16" s="14" customFormat="1" ht="39.75" customHeight="1">
      <c r="A90" s="81" t="s">
        <v>378</v>
      </c>
      <c r="B90" s="62" t="s">
        <v>42</v>
      </c>
      <c r="C90" s="62">
        <v>6</v>
      </c>
      <c r="D90" s="62">
        <v>61</v>
      </c>
      <c r="E90" s="62">
        <v>817</v>
      </c>
      <c r="F90" s="75" t="s">
        <v>14</v>
      </c>
      <c r="G90" s="75" t="s">
        <v>15</v>
      </c>
      <c r="H90" s="62">
        <v>11340</v>
      </c>
      <c r="I90" s="62">
        <v>466</v>
      </c>
      <c r="J90" s="68" t="s">
        <v>379</v>
      </c>
      <c r="K90" s="72">
        <v>324</v>
      </c>
      <c r="L90" s="72" t="s">
        <v>380</v>
      </c>
      <c r="M90" s="93">
        <v>8000000</v>
      </c>
      <c r="N90" s="64"/>
      <c r="O90" s="64"/>
      <c r="P90" s="66">
        <f t="shared" si="12"/>
        <v>0</v>
      </c>
    </row>
    <row r="91" spans="1:30" ht="26.25" customHeight="1">
      <c r="A91" s="82" t="s">
        <v>43</v>
      </c>
      <c r="B91" s="60" t="s">
        <v>42</v>
      </c>
      <c r="C91" s="60" t="s">
        <v>10</v>
      </c>
      <c r="D91" s="60"/>
      <c r="E91" s="62" t="s">
        <v>0</v>
      </c>
      <c r="F91" s="62" t="s">
        <v>0</v>
      </c>
      <c r="G91" s="62" t="s">
        <v>0</v>
      </c>
      <c r="H91" s="62" t="s">
        <v>0</v>
      </c>
      <c r="I91" s="62" t="s">
        <v>0</v>
      </c>
      <c r="J91" s="70"/>
      <c r="K91" s="70"/>
      <c r="L91" s="70"/>
      <c r="M91" s="83">
        <f>M93</f>
        <v>5376973</v>
      </c>
      <c r="N91" s="83">
        <f>N93</f>
        <v>3521087</v>
      </c>
      <c r="O91" s="83">
        <f>O93</f>
        <v>3352663</v>
      </c>
      <c r="P91" s="61">
        <f t="shared" si="12"/>
        <v>62.35223795990793</v>
      </c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</row>
    <row r="92" spans="1:30" s="11" customFormat="1" ht="123.75" customHeight="1">
      <c r="A92" s="82" t="s">
        <v>184</v>
      </c>
      <c r="B92" s="60" t="s">
        <v>42</v>
      </c>
      <c r="C92" s="60" t="s">
        <v>10</v>
      </c>
      <c r="D92" s="60">
        <v>81</v>
      </c>
      <c r="E92" s="62"/>
      <c r="F92" s="62"/>
      <c r="G92" s="62"/>
      <c r="H92" s="62"/>
      <c r="I92" s="62"/>
      <c r="J92" s="70"/>
      <c r="K92" s="70"/>
      <c r="L92" s="70"/>
      <c r="M92" s="83">
        <f>M93</f>
        <v>5376973</v>
      </c>
      <c r="N92" s="83">
        <f aca="true" t="shared" si="16" ref="N92:O95">N93</f>
        <v>3521087</v>
      </c>
      <c r="O92" s="83">
        <f t="shared" si="16"/>
        <v>3352663</v>
      </c>
      <c r="P92" s="61">
        <f t="shared" si="12"/>
        <v>62.35223795990793</v>
      </c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</row>
    <row r="93" spans="1:30" ht="25.5" customHeight="1">
      <c r="A93" s="82" t="s">
        <v>28</v>
      </c>
      <c r="B93" s="60" t="s">
        <v>42</v>
      </c>
      <c r="C93" s="60" t="s">
        <v>10</v>
      </c>
      <c r="D93" s="60">
        <v>81</v>
      </c>
      <c r="E93" s="60" t="s">
        <v>29</v>
      </c>
      <c r="F93" s="60" t="s">
        <v>0</v>
      </c>
      <c r="G93" s="60" t="s">
        <v>0</v>
      </c>
      <c r="H93" s="60" t="s">
        <v>0</v>
      </c>
      <c r="I93" s="60" t="s">
        <v>0</v>
      </c>
      <c r="J93" s="79"/>
      <c r="K93" s="79"/>
      <c r="L93" s="79"/>
      <c r="M93" s="83">
        <f>M94</f>
        <v>5376973</v>
      </c>
      <c r="N93" s="83">
        <f t="shared" si="16"/>
        <v>3521087</v>
      </c>
      <c r="O93" s="83">
        <f t="shared" si="16"/>
        <v>3352663</v>
      </c>
      <c r="P93" s="61">
        <f t="shared" si="12"/>
        <v>62.35223795990793</v>
      </c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</row>
    <row r="94" spans="1:30" ht="27" customHeight="1">
      <c r="A94" s="82" t="s">
        <v>59</v>
      </c>
      <c r="B94" s="60">
        <v>17</v>
      </c>
      <c r="C94" s="60">
        <v>7</v>
      </c>
      <c r="D94" s="60">
        <v>81</v>
      </c>
      <c r="E94" s="60">
        <v>819</v>
      </c>
      <c r="F94" s="60"/>
      <c r="G94" s="60"/>
      <c r="H94" s="60"/>
      <c r="I94" s="60"/>
      <c r="J94" s="79"/>
      <c r="K94" s="79"/>
      <c r="L94" s="79"/>
      <c r="M94" s="83">
        <f>M95</f>
        <v>5376973</v>
      </c>
      <c r="N94" s="83">
        <f t="shared" si="16"/>
        <v>3521087</v>
      </c>
      <c r="O94" s="83">
        <f t="shared" si="16"/>
        <v>3352663</v>
      </c>
      <c r="P94" s="61">
        <f t="shared" si="12"/>
        <v>62.35223795990793</v>
      </c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</row>
    <row r="95" spans="1:30" ht="15" customHeight="1">
      <c r="A95" s="82" t="s">
        <v>21</v>
      </c>
      <c r="B95" s="60" t="s">
        <v>42</v>
      </c>
      <c r="C95" s="60" t="s">
        <v>10</v>
      </c>
      <c r="D95" s="60">
        <v>81</v>
      </c>
      <c r="E95" s="60" t="s">
        <v>29</v>
      </c>
      <c r="F95" s="60" t="s">
        <v>15</v>
      </c>
      <c r="G95" s="60" t="s">
        <v>0</v>
      </c>
      <c r="H95" s="60" t="s">
        <v>0</v>
      </c>
      <c r="I95" s="60" t="s">
        <v>0</v>
      </c>
      <c r="J95" s="79"/>
      <c r="K95" s="79"/>
      <c r="L95" s="79"/>
      <c r="M95" s="83">
        <f>M96</f>
        <v>5376973</v>
      </c>
      <c r="N95" s="83">
        <f t="shared" si="16"/>
        <v>3521087</v>
      </c>
      <c r="O95" s="83">
        <f t="shared" si="16"/>
        <v>3352663</v>
      </c>
      <c r="P95" s="61">
        <f t="shared" si="12"/>
        <v>62.35223795990793</v>
      </c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</row>
    <row r="96" spans="1:30" s="1" customFormat="1" ht="16.5" customHeight="1">
      <c r="A96" s="82" t="s">
        <v>23</v>
      </c>
      <c r="B96" s="60" t="s">
        <v>42</v>
      </c>
      <c r="C96" s="60" t="s">
        <v>10</v>
      </c>
      <c r="D96" s="60">
        <v>81</v>
      </c>
      <c r="E96" s="60" t="s">
        <v>29</v>
      </c>
      <c r="F96" s="60" t="s">
        <v>15</v>
      </c>
      <c r="G96" s="60" t="s">
        <v>13</v>
      </c>
      <c r="H96" s="60" t="s">
        <v>0</v>
      </c>
      <c r="I96" s="60" t="s">
        <v>0</v>
      </c>
      <c r="J96" s="79"/>
      <c r="K96" s="79"/>
      <c r="L96" s="79"/>
      <c r="M96" s="83">
        <f>M97+M98</f>
        <v>5376973</v>
      </c>
      <c r="N96" s="83">
        <f>N97+N98</f>
        <v>3521087</v>
      </c>
      <c r="O96" s="83">
        <f>O97+O98</f>
        <v>3352663</v>
      </c>
      <c r="P96" s="61">
        <f t="shared" si="12"/>
        <v>62.35223795990793</v>
      </c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</row>
    <row r="97" spans="1:30" ht="26.25" customHeight="1">
      <c r="A97" s="82" t="s">
        <v>30</v>
      </c>
      <c r="B97" s="60" t="s">
        <v>42</v>
      </c>
      <c r="C97" s="60" t="s">
        <v>10</v>
      </c>
      <c r="D97" s="60">
        <v>81</v>
      </c>
      <c r="E97" s="60" t="s">
        <v>29</v>
      </c>
      <c r="F97" s="60" t="s">
        <v>15</v>
      </c>
      <c r="G97" s="60" t="s">
        <v>13</v>
      </c>
      <c r="H97" s="60">
        <v>11260</v>
      </c>
      <c r="I97" s="60" t="s">
        <v>0</v>
      </c>
      <c r="J97" s="79"/>
      <c r="K97" s="79"/>
      <c r="L97" s="79"/>
      <c r="M97" s="83">
        <f aca="true" t="shared" si="17" ref="M97:O100">M99</f>
        <v>2241052</v>
      </c>
      <c r="N97" s="83">
        <f t="shared" si="17"/>
        <v>2143073</v>
      </c>
      <c r="O97" s="83">
        <f t="shared" si="17"/>
        <v>1974649</v>
      </c>
      <c r="P97" s="61">
        <f t="shared" si="12"/>
        <v>88.11259176493897</v>
      </c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</row>
    <row r="98" spans="1:30" s="11" customFormat="1" ht="16.5" customHeight="1">
      <c r="A98" s="101" t="s">
        <v>125</v>
      </c>
      <c r="B98" s="60" t="s">
        <v>42</v>
      </c>
      <c r="C98" s="60" t="s">
        <v>10</v>
      </c>
      <c r="D98" s="60">
        <v>81</v>
      </c>
      <c r="E98" s="60" t="s">
        <v>29</v>
      </c>
      <c r="F98" s="60" t="s">
        <v>15</v>
      </c>
      <c r="G98" s="60" t="s">
        <v>13</v>
      </c>
      <c r="H98" s="65" t="s">
        <v>197</v>
      </c>
      <c r="I98" s="60"/>
      <c r="J98" s="79"/>
      <c r="K98" s="79"/>
      <c r="L98" s="79"/>
      <c r="M98" s="83">
        <f t="shared" si="17"/>
        <v>3135921</v>
      </c>
      <c r="N98" s="83">
        <f t="shared" si="17"/>
        <v>1378014</v>
      </c>
      <c r="O98" s="83">
        <f t="shared" si="17"/>
        <v>1378014</v>
      </c>
      <c r="P98" s="61">
        <f t="shared" si="12"/>
        <v>43.942879938620905</v>
      </c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</row>
    <row r="99" spans="1:30" ht="19.5" customHeight="1">
      <c r="A99" s="196" t="s">
        <v>31</v>
      </c>
      <c r="B99" s="60" t="s">
        <v>42</v>
      </c>
      <c r="C99" s="60" t="s">
        <v>10</v>
      </c>
      <c r="D99" s="60">
        <v>81</v>
      </c>
      <c r="E99" s="60" t="s">
        <v>29</v>
      </c>
      <c r="F99" s="60" t="s">
        <v>15</v>
      </c>
      <c r="G99" s="60" t="s">
        <v>13</v>
      </c>
      <c r="H99" s="60">
        <v>11260</v>
      </c>
      <c r="I99" s="60" t="s">
        <v>32</v>
      </c>
      <c r="J99" s="79"/>
      <c r="K99" s="79"/>
      <c r="L99" s="79"/>
      <c r="M99" s="83">
        <f t="shared" si="17"/>
        <v>2241052</v>
      </c>
      <c r="N99" s="83">
        <f t="shared" si="17"/>
        <v>2143073</v>
      </c>
      <c r="O99" s="83">
        <f t="shared" si="17"/>
        <v>1974649</v>
      </c>
      <c r="P99" s="61">
        <f t="shared" si="12"/>
        <v>88.11259176493897</v>
      </c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</row>
    <row r="100" spans="1:30" s="11" customFormat="1" ht="16.5" customHeight="1">
      <c r="A100" s="197"/>
      <c r="B100" s="60" t="s">
        <v>42</v>
      </c>
      <c r="C100" s="60" t="s">
        <v>10</v>
      </c>
      <c r="D100" s="60">
        <v>81</v>
      </c>
      <c r="E100" s="60" t="s">
        <v>29</v>
      </c>
      <c r="F100" s="60" t="s">
        <v>15</v>
      </c>
      <c r="G100" s="60" t="s">
        <v>13</v>
      </c>
      <c r="H100" s="65" t="s">
        <v>197</v>
      </c>
      <c r="I100" s="60" t="s">
        <v>32</v>
      </c>
      <c r="J100" s="79"/>
      <c r="K100" s="79"/>
      <c r="L100" s="79"/>
      <c r="M100" s="83">
        <f t="shared" si="17"/>
        <v>3135921</v>
      </c>
      <c r="N100" s="83">
        <f t="shared" si="17"/>
        <v>1378014</v>
      </c>
      <c r="O100" s="83">
        <f t="shared" si="17"/>
        <v>1378014</v>
      </c>
      <c r="P100" s="61">
        <f t="shared" si="12"/>
        <v>43.942879938620905</v>
      </c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</row>
    <row r="101" spans="1:30" s="13" customFormat="1" ht="14.25" customHeight="1">
      <c r="A101" s="199" t="s">
        <v>85</v>
      </c>
      <c r="B101" s="60" t="s">
        <v>42</v>
      </c>
      <c r="C101" s="60" t="s">
        <v>10</v>
      </c>
      <c r="D101" s="60">
        <v>81</v>
      </c>
      <c r="E101" s="60" t="s">
        <v>29</v>
      </c>
      <c r="F101" s="60" t="s">
        <v>15</v>
      </c>
      <c r="G101" s="60" t="s">
        <v>13</v>
      </c>
      <c r="H101" s="60">
        <v>11260</v>
      </c>
      <c r="I101" s="60" t="s">
        <v>32</v>
      </c>
      <c r="J101" s="68"/>
      <c r="K101" s="68"/>
      <c r="L101" s="68"/>
      <c r="M101" s="80">
        <f>M105+M107</f>
        <v>2241052</v>
      </c>
      <c r="N101" s="80">
        <f>N105+N107</f>
        <v>2143073</v>
      </c>
      <c r="O101" s="80">
        <f>O105+O107</f>
        <v>1974649</v>
      </c>
      <c r="P101" s="61">
        <f t="shared" si="12"/>
        <v>88.11259176493897</v>
      </c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</row>
    <row r="102" spans="1:30" s="13" customFormat="1" ht="15" customHeight="1">
      <c r="A102" s="200"/>
      <c r="B102" s="60" t="s">
        <v>42</v>
      </c>
      <c r="C102" s="60" t="s">
        <v>10</v>
      </c>
      <c r="D102" s="60">
        <v>81</v>
      </c>
      <c r="E102" s="60" t="s">
        <v>29</v>
      </c>
      <c r="F102" s="60" t="s">
        <v>15</v>
      </c>
      <c r="G102" s="60" t="s">
        <v>13</v>
      </c>
      <c r="H102" s="65" t="s">
        <v>197</v>
      </c>
      <c r="I102" s="60" t="s">
        <v>32</v>
      </c>
      <c r="J102" s="68"/>
      <c r="K102" s="68"/>
      <c r="L102" s="68"/>
      <c r="M102" s="80">
        <f>M104</f>
        <v>3135921</v>
      </c>
      <c r="N102" s="80">
        <f>N104</f>
        <v>1378014</v>
      </c>
      <c r="O102" s="80">
        <f>O104</f>
        <v>1378014</v>
      </c>
      <c r="P102" s="61">
        <f t="shared" si="12"/>
        <v>43.942879938620905</v>
      </c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</row>
    <row r="103" spans="1:30" ht="12.75">
      <c r="A103" s="73" t="s">
        <v>70</v>
      </c>
      <c r="B103" s="62"/>
      <c r="C103" s="62"/>
      <c r="D103" s="62"/>
      <c r="E103" s="62"/>
      <c r="F103" s="62"/>
      <c r="G103" s="62"/>
      <c r="H103" s="62"/>
      <c r="I103" s="62"/>
      <c r="J103" s="68"/>
      <c r="K103" s="68"/>
      <c r="L103" s="68"/>
      <c r="M103" s="83">
        <f>M104+M105</f>
        <v>3251973</v>
      </c>
      <c r="N103" s="83">
        <f>N104+N105</f>
        <v>1494066</v>
      </c>
      <c r="O103" s="83">
        <f>O104+O105</f>
        <v>1494066</v>
      </c>
      <c r="P103" s="61">
        <f t="shared" si="12"/>
        <v>45.94337037853635</v>
      </c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</row>
    <row r="104" spans="1:30" ht="24.75" customHeight="1">
      <c r="A104" s="62" t="s">
        <v>151</v>
      </c>
      <c r="B104" s="62" t="s">
        <v>42</v>
      </c>
      <c r="C104" s="62" t="s">
        <v>10</v>
      </c>
      <c r="D104" s="62">
        <v>81</v>
      </c>
      <c r="E104" s="62" t="s">
        <v>29</v>
      </c>
      <c r="F104" s="62" t="s">
        <v>15</v>
      </c>
      <c r="G104" s="62" t="s">
        <v>13</v>
      </c>
      <c r="H104" s="63" t="s">
        <v>197</v>
      </c>
      <c r="I104" s="62" t="s">
        <v>32</v>
      </c>
      <c r="J104" s="70" t="s">
        <v>110</v>
      </c>
      <c r="K104" s="72" t="s">
        <v>111</v>
      </c>
      <c r="L104" s="68">
        <v>2016</v>
      </c>
      <c r="M104" s="95">
        <v>3135921</v>
      </c>
      <c r="N104" s="42">
        <v>1378014</v>
      </c>
      <c r="O104" s="42">
        <v>1378014</v>
      </c>
      <c r="P104" s="66">
        <f t="shared" si="12"/>
        <v>43.942879938620905</v>
      </c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</row>
    <row r="105" spans="1:30" ht="25.5" customHeight="1">
      <c r="A105" s="62" t="s">
        <v>401</v>
      </c>
      <c r="B105" s="62" t="s">
        <v>42</v>
      </c>
      <c r="C105" s="62" t="s">
        <v>10</v>
      </c>
      <c r="D105" s="62">
        <v>81</v>
      </c>
      <c r="E105" s="62" t="s">
        <v>29</v>
      </c>
      <c r="F105" s="62" t="s">
        <v>15</v>
      </c>
      <c r="G105" s="62" t="s">
        <v>13</v>
      </c>
      <c r="H105" s="62">
        <v>11260</v>
      </c>
      <c r="I105" s="62" t="s">
        <v>32</v>
      </c>
      <c r="J105" s="70" t="s">
        <v>110</v>
      </c>
      <c r="K105" s="70" t="s">
        <v>112</v>
      </c>
      <c r="L105" s="68">
        <v>2017</v>
      </c>
      <c r="M105" s="95">
        <f>157600-41548</f>
        <v>116052</v>
      </c>
      <c r="N105" s="42">
        <v>116052</v>
      </c>
      <c r="O105" s="42">
        <v>116052</v>
      </c>
      <c r="P105" s="66">
        <f t="shared" si="12"/>
        <v>100</v>
      </c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</row>
    <row r="106" spans="1:30" s="11" customFormat="1" ht="15.75" customHeight="1">
      <c r="A106" s="73" t="s">
        <v>62</v>
      </c>
      <c r="B106" s="62"/>
      <c r="C106" s="62"/>
      <c r="D106" s="62"/>
      <c r="E106" s="62"/>
      <c r="F106" s="62"/>
      <c r="G106" s="62"/>
      <c r="H106" s="62"/>
      <c r="I106" s="62"/>
      <c r="J106" s="70"/>
      <c r="K106" s="70"/>
      <c r="L106" s="68"/>
      <c r="M106" s="83">
        <f>M107</f>
        <v>2125000</v>
      </c>
      <c r="N106" s="83">
        <f>N107</f>
        <v>2027021</v>
      </c>
      <c r="O106" s="83">
        <f>O107</f>
        <v>1858597</v>
      </c>
      <c r="P106" s="61">
        <f t="shared" si="12"/>
        <v>87.46338823529412</v>
      </c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</row>
    <row r="107" spans="1:30" s="11" customFormat="1" ht="25.5" customHeight="1">
      <c r="A107" s="62" t="s">
        <v>425</v>
      </c>
      <c r="B107" s="62" t="s">
        <v>42</v>
      </c>
      <c r="C107" s="62" t="s">
        <v>10</v>
      </c>
      <c r="D107" s="62">
        <v>81</v>
      </c>
      <c r="E107" s="62" t="s">
        <v>29</v>
      </c>
      <c r="F107" s="62" t="s">
        <v>15</v>
      </c>
      <c r="G107" s="62" t="s">
        <v>13</v>
      </c>
      <c r="H107" s="62">
        <v>11260</v>
      </c>
      <c r="I107" s="62" t="s">
        <v>32</v>
      </c>
      <c r="J107" s="70" t="s">
        <v>63</v>
      </c>
      <c r="K107" s="70">
        <v>3.1</v>
      </c>
      <c r="L107" s="72" t="s">
        <v>372</v>
      </c>
      <c r="M107" s="95">
        <f>125000+2000000</f>
        <v>2125000</v>
      </c>
      <c r="N107" s="42">
        <v>2027021</v>
      </c>
      <c r="O107" s="42">
        <v>1858597</v>
      </c>
      <c r="P107" s="66">
        <f t="shared" si="12"/>
        <v>87.46338823529412</v>
      </c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</row>
    <row r="108" spans="1:30" ht="48.75" customHeight="1">
      <c r="A108" s="82" t="s">
        <v>103</v>
      </c>
      <c r="B108" s="60" t="s">
        <v>44</v>
      </c>
      <c r="C108" s="60"/>
      <c r="D108" s="60"/>
      <c r="E108" s="62" t="s">
        <v>0</v>
      </c>
      <c r="F108" s="62" t="s">
        <v>0</v>
      </c>
      <c r="G108" s="62" t="s">
        <v>0</v>
      </c>
      <c r="H108" s="62" t="s">
        <v>0</v>
      </c>
      <c r="I108" s="62" t="s">
        <v>0</v>
      </c>
      <c r="J108" s="70"/>
      <c r="K108" s="70"/>
      <c r="L108" s="70"/>
      <c r="M108" s="83">
        <f>M109+M139+M166</f>
        <v>153883025</v>
      </c>
      <c r="N108" s="83">
        <f>N109+N139+N166</f>
        <v>90249143.45</v>
      </c>
      <c r="O108" s="83">
        <f>O109+O139+O166</f>
        <v>97057601.68999998</v>
      </c>
      <c r="P108" s="61">
        <f t="shared" si="12"/>
        <v>63.07232502740311</v>
      </c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</row>
    <row r="109" spans="1:30" ht="52.5" customHeight="1">
      <c r="A109" s="82" t="s">
        <v>45</v>
      </c>
      <c r="B109" s="60" t="s">
        <v>44</v>
      </c>
      <c r="C109" s="60" t="s">
        <v>7</v>
      </c>
      <c r="D109" s="60"/>
      <c r="E109" s="62" t="s">
        <v>0</v>
      </c>
      <c r="F109" s="62" t="s">
        <v>0</v>
      </c>
      <c r="G109" s="62" t="s">
        <v>0</v>
      </c>
      <c r="H109" s="62" t="s">
        <v>0</v>
      </c>
      <c r="I109" s="62" t="s">
        <v>0</v>
      </c>
      <c r="J109" s="70"/>
      <c r="K109" s="70"/>
      <c r="L109" s="70"/>
      <c r="M109" s="83">
        <f>M111</f>
        <v>30978748</v>
      </c>
      <c r="N109" s="83">
        <f>N111</f>
        <v>13722022</v>
      </c>
      <c r="O109" s="83">
        <f>O111</f>
        <v>14463563</v>
      </c>
      <c r="P109" s="61">
        <f t="shared" si="12"/>
        <v>46.68866217575997</v>
      </c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</row>
    <row r="110" spans="1:30" s="11" customFormat="1" ht="49.5" customHeight="1">
      <c r="A110" s="82" t="s">
        <v>188</v>
      </c>
      <c r="B110" s="60" t="s">
        <v>44</v>
      </c>
      <c r="C110" s="60" t="s">
        <v>7</v>
      </c>
      <c r="D110" s="60">
        <v>13</v>
      </c>
      <c r="E110" s="62"/>
      <c r="F110" s="62"/>
      <c r="G110" s="62"/>
      <c r="H110" s="62"/>
      <c r="I110" s="62"/>
      <c r="J110" s="70"/>
      <c r="K110" s="70"/>
      <c r="L110" s="70"/>
      <c r="M110" s="83">
        <f>M111</f>
        <v>30978748</v>
      </c>
      <c r="N110" s="83">
        <f>N111</f>
        <v>13722022</v>
      </c>
      <c r="O110" s="83">
        <f>O111</f>
        <v>14463563</v>
      </c>
      <c r="P110" s="61">
        <f t="shared" si="12"/>
        <v>46.68866217575997</v>
      </c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</row>
    <row r="111" spans="1:30" ht="25.5" customHeight="1">
      <c r="A111" s="82" t="s">
        <v>28</v>
      </c>
      <c r="B111" s="60" t="s">
        <v>44</v>
      </c>
      <c r="C111" s="60">
        <v>1</v>
      </c>
      <c r="D111" s="60">
        <v>13</v>
      </c>
      <c r="E111" s="60" t="s">
        <v>29</v>
      </c>
      <c r="F111" s="60" t="s">
        <v>0</v>
      </c>
      <c r="G111" s="60" t="s">
        <v>0</v>
      </c>
      <c r="H111" s="60" t="s">
        <v>0</v>
      </c>
      <c r="I111" s="60" t="s">
        <v>0</v>
      </c>
      <c r="J111" s="79"/>
      <c r="K111" s="79"/>
      <c r="L111" s="79"/>
      <c r="M111" s="83">
        <f aca="true" t="shared" si="18" ref="M111:O116">M112</f>
        <v>30978748</v>
      </c>
      <c r="N111" s="83">
        <f t="shared" si="18"/>
        <v>13722022</v>
      </c>
      <c r="O111" s="83">
        <f t="shared" si="18"/>
        <v>14463563</v>
      </c>
      <c r="P111" s="61">
        <f t="shared" si="12"/>
        <v>46.68866217575997</v>
      </c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</row>
    <row r="112" spans="1:30" ht="24.75" customHeight="1">
      <c r="A112" s="82" t="s">
        <v>59</v>
      </c>
      <c r="B112" s="60">
        <v>19</v>
      </c>
      <c r="C112" s="60">
        <v>1</v>
      </c>
      <c r="D112" s="60">
        <v>13</v>
      </c>
      <c r="E112" s="60">
        <v>819</v>
      </c>
      <c r="F112" s="60"/>
      <c r="G112" s="60"/>
      <c r="H112" s="60"/>
      <c r="I112" s="60"/>
      <c r="J112" s="79"/>
      <c r="K112" s="79"/>
      <c r="L112" s="79"/>
      <c r="M112" s="83">
        <f t="shared" si="18"/>
        <v>30978748</v>
      </c>
      <c r="N112" s="83">
        <f t="shared" si="18"/>
        <v>13722022</v>
      </c>
      <c r="O112" s="83">
        <f t="shared" si="18"/>
        <v>14463563</v>
      </c>
      <c r="P112" s="61">
        <f t="shared" si="12"/>
        <v>46.68866217575997</v>
      </c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</row>
    <row r="113" spans="1:30" ht="15.75" customHeight="1">
      <c r="A113" s="82" t="s">
        <v>21</v>
      </c>
      <c r="B113" s="60" t="s">
        <v>44</v>
      </c>
      <c r="C113" s="60" t="s">
        <v>7</v>
      </c>
      <c r="D113" s="60">
        <v>13</v>
      </c>
      <c r="E113" s="60" t="s">
        <v>29</v>
      </c>
      <c r="F113" s="60" t="s">
        <v>15</v>
      </c>
      <c r="G113" s="60" t="s">
        <v>0</v>
      </c>
      <c r="H113" s="60" t="s">
        <v>0</v>
      </c>
      <c r="I113" s="60" t="s">
        <v>0</v>
      </c>
      <c r="J113" s="79"/>
      <c r="K113" s="79"/>
      <c r="L113" s="79"/>
      <c r="M113" s="83">
        <f t="shared" si="18"/>
        <v>30978748</v>
      </c>
      <c r="N113" s="83">
        <f t="shared" si="18"/>
        <v>13722022</v>
      </c>
      <c r="O113" s="83">
        <f t="shared" si="18"/>
        <v>14463563</v>
      </c>
      <c r="P113" s="61">
        <f t="shared" si="12"/>
        <v>46.68866217575997</v>
      </c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</row>
    <row r="114" spans="1:30" ht="15" customHeight="1">
      <c r="A114" s="82" t="s">
        <v>23</v>
      </c>
      <c r="B114" s="60" t="s">
        <v>44</v>
      </c>
      <c r="C114" s="60" t="s">
        <v>7</v>
      </c>
      <c r="D114" s="60">
        <v>13</v>
      </c>
      <c r="E114" s="60" t="s">
        <v>29</v>
      </c>
      <c r="F114" s="60" t="s">
        <v>15</v>
      </c>
      <c r="G114" s="60" t="s">
        <v>13</v>
      </c>
      <c r="H114" s="60" t="s">
        <v>0</v>
      </c>
      <c r="I114" s="60" t="s">
        <v>0</v>
      </c>
      <c r="J114" s="79"/>
      <c r="K114" s="79"/>
      <c r="L114" s="79"/>
      <c r="M114" s="83">
        <f t="shared" si="18"/>
        <v>30978748</v>
      </c>
      <c r="N114" s="83">
        <f t="shared" si="18"/>
        <v>13722022</v>
      </c>
      <c r="O114" s="83">
        <f t="shared" si="18"/>
        <v>14463563</v>
      </c>
      <c r="P114" s="61">
        <f t="shared" si="12"/>
        <v>46.68866217575997</v>
      </c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</row>
    <row r="115" spans="1:30" ht="24" customHeight="1">
      <c r="A115" s="82" t="s">
        <v>30</v>
      </c>
      <c r="B115" s="60" t="s">
        <v>44</v>
      </c>
      <c r="C115" s="60" t="s">
        <v>7</v>
      </c>
      <c r="D115" s="60">
        <v>13</v>
      </c>
      <c r="E115" s="60" t="s">
        <v>29</v>
      </c>
      <c r="F115" s="60" t="s">
        <v>15</v>
      </c>
      <c r="G115" s="60" t="s">
        <v>13</v>
      </c>
      <c r="H115" s="60">
        <v>11260</v>
      </c>
      <c r="I115" s="60" t="s">
        <v>0</v>
      </c>
      <c r="J115" s="79"/>
      <c r="K115" s="79"/>
      <c r="L115" s="79"/>
      <c r="M115" s="83">
        <f t="shared" si="18"/>
        <v>30978748</v>
      </c>
      <c r="N115" s="83">
        <f t="shared" si="18"/>
        <v>13722022</v>
      </c>
      <c r="O115" s="83">
        <f t="shared" si="18"/>
        <v>14463563</v>
      </c>
      <c r="P115" s="61">
        <f t="shared" si="12"/>
        <v>46.68866217575997</v>
      </c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</row>
    <row r="116" spans="1:30" ht="36" customHeight="1">
      <c r="A116" s="82" t="s">
        <v>31</v>
      </c>
      <c r="B116" s="60" t="s">
        <v>44</v>
      </c>
      <c r="C116" s="60" t="s">
        <v>7</v>
      </c>
      <c r="D116" s="60">
        <v>13</v>
      </c>
      <c r="E116" s="60" t="s">
        <v>29</v>
      </c>
      <c r="F116" s="60" t="s">
        <v>15</v>
      </c>
      <c r="G116" s="60" t="s">
        <v>13</v>
      </c>
      <c r="H116" s="60">
        <v>11260</v>
      </c>
      <c r="I116" s="60" t="s">
        <v>32</v>
      </c>
      <c r="J116" s="79"/>
      <c r="K116" s="79"/>
      <c r="L116" s="79"/>
      <c r="M116" s="83">
        <f t="shared" si="18"/>
        <v>30978748</v>
      </c>
      <c r="N116" s="83">
        <f t="shared" si="18"/>
        <v>13722022</v>
      </c>
      <c r="O116" s="83">
        <f t="shared" si="18"/>
        <v>14463563</v>
      </c>
      <c r="P116" s="61">
        <f t="shared" si="12"/>
        <v>46.68866217575997</v>
      </c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</row>
    <row r="117" spans="1:30" s="2" customFormat="1" ht="25.5" customHeight="1">
      <c r="A117" s="60" t="s">
        <v>85</v>
      </c>
      <c r="B117" s="60" t="s">
        <v>44</v>
      </c>
      <c r="C117" s="60" t="s">
        <v>7</v>
      </c>
      <c r="D117" s="60">
        <v>13</v>
      </c>
      <c r="E117" s="60" t="s">
        <v>29</v>
      </c>
      <c r="F117" s="60" t="s">
        <v>15</v>
      </c>
      <c r="G117" s="60" t="s">
        <v>13</v>
      </c>
      <c r="H117" s="60">
        <v>11260</v>
      </c>
      <c r="I117" s="60" t="s">
        <v>32</v>
      </c>
      <c r="J117" s="68"/>
      <c r="K117" s="68"/>
      <c r="L117" s="68"/>
      <c r="M117" s="83">
        <f>M120+M124+M128+M131+M135+M137+M118</f>
        <v>30978748</v>
      </c>
      <c r="N117" s="83">
        <f>N120+N124+N128+N131+N135+N137+N118</f>
        <v>13722022</v>
      </c>
      <c r="O117" s="83">
        <f>O120+O124+O128+O131+O135+O137+O118</f>
        <v>14463563</v>
      </c>
      <c r="P117" s="61">
        <f t="shared" si="12"/>
        <v>46.68866217575997</v>
      </c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</row>
    <row r="118" spans="1:30" s="10" customFormat="1" ht="15" customHeight="1">
      <c r="A118" s="60" t="s">
        <v>264</v>
      </c>
      <c r="B118" s="60"/>
      <c r="C118" s="60"/>
      <c r="D118" s="60"/>
      <c r="E118" s="60"/>
      <c r="F118" s="60"/>
      <c r="G118" s="60"/>
      <c r="H118" s="60"/>
      <c r="I118" s="60"/>
      <c r="J118" s="68"/>
      <c r="K118" s="68"/>
      <c r="L118" s="68"/>
      <c r="M118" s="83">
        <f>M119</f>
        <v>1020000</v>
      </c>
      <c r="N118" s="83">
        <f>N119</f>
        <v>0</v>
      </c>
      <c r="O118" s="83">
        <f>O119</f>
        <v>0</v>
      </c>
      <c r="P118" s="61">
        <f t="shared" si="12"/>
        <v>0</v>
      </c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</row>
    <row r="119" spans="1:30" s="10" customFormat="1" ht="35.25" customHeight="1">
      <c r="A119" s="102" t="s">
        <v>265</v>
      </c>
      <c r="B119" s="62" t="s">
        <v>44</v>
      </c>
      <c r="C119" s="62" t="s">
        <v>7</v>
      </c>
      <c r="D119" s="62">
        <v>13</v>
      </c>
      <c r="E119" s="62" t="s">
        <v>29</v>
      </c>
      <c r="F119" s="62" t="s">
        <v>15</v>
      </c>
      <c r="G119" s="62" t="s">
        <v>13</v>
      </c>
      <c r="H119" s="62">
        <v>11260</v>
      </c>
      <c r="I119" s="62" t="s">
        <v>32</v>
      </c>
      <c r="J119" s="68" t="s">
        <v>257</v>
      </c>
      <c r="K119" s="68" t="s">
        <v>266</v>
      </c>
      <c r="L119" s="68">
        <v>2016</v>
      </c>
      <c r="M119" s="95">
        <v>1020000</v>
      </c>
      <c r="N119" s="64"/>
      <c r="O119" s="64"/>
      <c r="P119" s="66">
        <f t="shared" si="12"/>
        <v>0</v>
      </c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</row>
    <row r="120" spans="1:30" s="10" customFormat="1" ht="16.5" customHeight="1">
      <c r="A120" s="60" t="s">
        <v>64</v>
      </c>
      <c r="B120" s="62"/>
      <c r="C120" s="62"/>
      <c r="D120" s="62"/>
      <c r="E120" s="62"/>
      <c r="F120" s="62"/>
      <c r="G120" s="62"/>
      <c r="H120" s="62"/>
      <c r="I120" s="62"/>
      <c r="J120" s="68"/>
      <c r="K120" s="68"/>
      <c r="L120" s="68"/>
      <c r="M120" s="83">
        <f>M121+M122</f>
        <v>6192000</v>
      </c>
      <c r="N120" s="83">
        <f>N121+N122</f>
        <v>1760779</v>
      </c>
      <c r="O120" s="83">
        <f>O121+O122</f>
        <v>2260779</v>
      </c>
      <c r="P120" s="61">
        <f t="shared" si="12"/>
        <v>36.511288759689926</v>
      </c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</row>
    <row r="121" spans="1:30" s="10" customFormat="1" ht="26.25" customHeight="1">
      <c r="A121" s="62" t="s">
        <v>152</v>
      </c>
      <c r="B121" s="62" t="s">
        <v>44</v>
      </c>
      <c r="C121" s="62" t="s">
        <v>7</v>
      </c>
      <c r="D121" s="62">
        <v>13</v>
      </c>
      <c r="E121" s="62" t="s">
        <v>29</v>
      </c>
      <c r="F121" s="62" t="s">
        <v>15</v>
      </c>
      <c r="G121" s="62" t="s">
        <v>13</v>
      </c>
      <c r="H121" s="62">
        <v>11260</v>
      </c>
      <c r="I121" s="62" t="s">
        <v>32</v>
      </c>
      <c r="J121" s="68" t="s">
        <v>63</v>
      </c>
      <c r="K121" s="68">
        <v>1.39</v>
      </c>
      <c r="L121" s="68"/>
      <c r="M121" s="95">
        <f>234900+3000000</f>
        <v>3234900</v>
      </c>
      <c r="N121" s="40">
        <v>234900</v>
      </c>
      <c r="O121" s="40">
        <v>234900</v>
      </c>
      <c r="P121" s="66">
        <f t="shared" si="12"/>
        <v>7.261430028748957</v>
      </c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</row>
    <row r="122" spans="1:16" s="14" customFormat="1" ht="24" customHeight="1">
      <c r="A122" s="62" t="s">
        <v>201</v>
      </c>
      <c r="B122" s="62" t="s">
        <v>44</v>
      </c>
      <c r="C122" s="62" t="s">
        <v>7</v>
      </c>
      <c r="D122" s="62">
        <v>13</v>
      </c>
      <c r="E122" s="62" t="s">
        <v>29</v>
      </c>
      <c r="F122" s="62" t="s">
        <v>15</v>
      </c>
      <c r="G122" s="62" t="s">
        <v>13</v>
      </c>
      <c r="H122" s="62">
        <v>11260</v>
      </c>
      <c r="I122" s="62" t="s">
        <v>32</v>
      </c>
      <c r="J122" s="68" t="s">
        <v>63</v>
      </c>
      <c r="K122" s="68">
        <v>1.798</v>
      </c>
      <c r="L122" s="68"/>
      <c r="M122" s="93">
        <f>757100+2200000</f>
        <v>2957100</v>
      </c>
      <c r="N122" s="40">
        <f>2025879-500000</f>
        <v>1525879</v>
      </c>
      <c r="O122" s="40">
        <v>2025879</v>
      </c>
      <c r="P122" s="66">
        <f t="shared" si="12"/>
        <v>68.50897839099117</v>
      </c>
    </row>
    <row r="123" spans="1:16" s="14" customFormat="1" ht="22.5" customHeight="1">
      <c r="A123" s="71" t="s">
        <v>200</v>
      </c>
      <c r="B123" s="62"/>
      <c r="C123" s="62"/>
      <c r="D123" s="62"/>
      <c r="E123" s="62"/>
      <c r="F123" s="62"/>
      <c r="G123" s="62"/>
      <c r="H123" s="62"/>
      <c r="I123" s="62"/>
      <c r="J123" s="68"/>
      <c r="K123" s="68"/>
      <c r="L123" s="68"/>
      <c r="M123" s="97">
        <v>500000</v>
      </c>
      <c r="N123" s="43">
        <v>0</v>
      </c>
      <c r="O123" s="44">
        <v>500000</v>
      </c>
      <c r="P123" s="69">
        <f t="shared" si="12"/>
        <v>100</v>
      </c>
    </row>
    <row r="124" spans="1:30" s="10" customFormat="1" ht="15" customHeight="1">
      <c r="A124" s="60" t="s">
        <v>69</v>
      </c>
      <c r="B124" s="62"/>
      <c r="C124" s="62"/>
      <c r="D124" s="62"/>
      <c r="E124" s="62"/>
      <c r="F124" s="62"/>
      <c r="G124" s="62"/>
      <c r="H124" s="62"/>
      <c r="I124" s="62"/>
      <c r="J124" s="68"/>
      <c r="K124" s="68"/>
      <c r="L124" s="68"/>
      <c r="M124" s="83">
        <f>M125+M127</f>
        <v>3473550</v>
      </c>
      <c r="N124" s="83">
        <f>N125+N127</f>
        <v>450474</v>
      </c>
      <c r="O124" s="83">
        <f>O125+O127</f>
        <v>473550</v>
      </c>
      <c r="P124" s="61">
        <f t="shared" si="12"/>
        <v>13.633026730578226</v>
      </c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</row>
    <row r="125" spans="1:30" s="10" customFormat="1" ht="27" customHeight="1">
      <c r="A125" s="62" t="s">
        <v>426</v>
      </c>
      <c r="B125" s="62" t="s">
        <v>44</v>
      </c>
      <c r="C125" s="62" t="s">
        <v>7</v>
      </c>
      <c r="D125" s="62">
        <v>13</v>
      </c>
      <c r="E125" s="62" t="s">
        <v>29</v>
      </c>
      <c r="F125" s="62" t="s">
        <v>15</v>
      </c>
      <c r="G125" s="62" t="s">
        <v>13</v>
      </c>
      <c r="H125" s="62">
        <v>11260</v>
      </c>
      <c r="I125" s="62" t="s">
        <v>32</v>
      </c>
      <c r="J125" s="70" t="s">
        <v>110</v>
      </c>
      <c r="K125" s="70" t="s">
        <v>222</v>
      </c>
      <c r="L125" s="68"/>
      <c r="M125" s="95">
        <v>473550</v>
      </c>
      <c r="N125" s="45">
        <f>473550-23076</f>
        <v>450474</v>
      </c>
      <c r="O125" s="45">
        <v>473550</v>
      </c>
      <c r="P125" s="66">
        <f t="shared" si="12"/>
        <v>100</v>
      </c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</row>
    <row r="126" spans="1:16" s="14" customFormat="1" ht="22.5" customHeight="1">
      <c r="A126" s="71" t="s">
        <v>200</v>
      </c>
      <c r="B126" s="62"/>
      <c r="C126" s="62"/>
      <c r="D126" s="62"/>
      <c r="E126" s="62"/>
      <c r="F126" s="62"/>
      <c r="G126" s="62"/>
      <c r="H126" s="62"/>
      <c r="I126" s="62"/>
      <c r="J126" s="68"/>
      <c r="K126" s="68"/>
      <c r="L126" s="68"/>
      <c r="M126" s="97">
        <v>23076</v>
      </c>
      <c r="N126" s="43">
        <v>0</v>
      </c>
      <c r="O126" s="111">
        <v>23076</v>
      </c>
      <c r="P126" s="69">
        <f t="shared" si="12"/>
        <v>100</v>
      </c>
    </row>
    <row r="127" spans="1:16" s="14" customFormat="1" ht="35.25" customHeight="1">
      <c r="A127" s="62" t="s">
        <v>342</v>
      </c>
      <c r="B127" s="62" t="s">
        <v>44</v>
      </c>
      <c r="C127" s="62" t="s">
        <v>7</v>
      </c>
      <c r="D127" s="62">
        <v>13</v>
      </c>
      <c r="E127" s="62" t="s">
        <v>29</v>
      </c>
      <c r="F127" s="62" t="s">
        <v>15</v>
      </c>
      <c r="G127" s="62" t="s">
        <v>13</v>
      </c>
      <c r="H127" s="62">
        <v>11260</v>
      </c>
      <c r="I127" s="62" t="s">
        <v>32</v>
      </c>
      <c r="J127" s="68" t="s">
        <v>63</v>
      </c>
      <c r="K127" s="68">
        <v>4.9</v>
      </c>
      <c r="L127" s="68"/>
      <c r="M127" s="93">
        <v>3000000</v>
      </c>
      <c r="N127" s="64"/>
      <c r="O127" s="64"/>
      <c r="P127" s="66">
        <f t="shared" si="12"/>
        <v>0</v>
      </c>
    </row>
    <row r="128" spans="1:30" s="10" customFormat="1" ht="15.75" customHeight="1">
      <c r="A128" s="60" t="s">
        <v>91</v>
      </c>
      <c r="B128" s="62"/>
      <c r="C128" s="62"/>
      <c r="D128" s="62"/>
      <c r="E128" s="62"/>
      <c r="F128" s="62"/>
      <c r="G128" s="62"/>
      <c r="H128" s="62"/>
      <c r="I128" s="62"/>
      <c r="J128" s="68"/>
      <c r="K128" s="68"/>
      <c r="L128" s="68"/>
      <c r="M128" s="83">
        <f>M129+M130</f>
        <v>4565573</v>
      </c>
      <c r="N128" s="83">
        <f>N129+N130</f>
        <v>2416144</v>
      </c>
      <c r="O128" s="83">
        <f>O129+O130</f>
        <v>2404609</v>
      </c>
      <c r="P128" s="61">
        <f t="shared" si="12"/>
        <v>52.66828501044666</v>
      </c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</row>
    <row r="129" spans="1:30" s="10" customFormat="1" ht="25.5" customHeight="1">
      <c r="A129" s="62" t="s">
        <v>341</v>
      </c>
      <c r="B129" s="62" t="s">
        <v>44</v>
      </c>
      <c r="C129" s="62" t="s">
        <v>7</v>
      </c>
      <c r="D129" s="62">
        <v>13</v>
      </c>
      <c r="E129" s="62" t="s">
        <v>29</v>
      </c>
      <c r="F129" s="62" t="s">
        <v>15</v>
      </c>
      <c r="G129" s="62" t="s">
        <v>13</v>
      </c>
      <c r="H129" s="62">
        <v>11260</v>
      </c>
      <c r="I129" s="62" t="s">
        <v>32</v>
      </c>
      <c r="J129" s="70" t="s">
        <v>110</v>
      </c>
      <c r="K129" s="70" t="s">
        <v>223</v>
      </c>
      <c r="L129" s="68"/>
      <c r="M129" s="95">
        <f>1817100+2000000</f>
        <v>3817100</v>
      </c>
      <c r="N129" s="45">
        <v>1672671</v>
      </c>
      <c r="O129" s="45">
        <v>1661136</v>
      </c>
      <c r="P129" s="66">
        <f t="shared" si="12"/>
        <v>43.51827303450263</v>
      </c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</row>
    <row r="130" spans="1:30" s="10" customFormat="1" ht="12.75">
      <c r="A130" s="62" t="s">
        <v>317</v>
      </c>
      <c r="B130" s="62" t="s">
        <v>44</v>
      </c>
      <c r="C130" s="62" t="s">
        <v>7</v>
      </c>
      <c r="D130" s="62">
        <v>13</v>
      </c>
      <c r="E130" s="62" t="s">
        <v>29</v>
      </c>
      <c r="F130" s="62" t="s">
        <v>15</v>
      </c>
      <c r="G130" s="62" t="s">
        <v>13</v>
      </c>
      <c r="H130" s="62">
        <v>11260</v>
      </c>
      <c r="I130" s="62" t="s">
        <v>32</v>
      </c>
      <c r="J130" s="68" t="s">
        <v>63</v>
      </c>
      <c r="K130" s="68">
        <v>2.172</v>
      </c>
      <c r="L130" s="68"/>
      <c r="M130" s="95">
        <f>564050+184423</f>
        <v>748473</v>
      </c>
      <c r="N130" s="45">
        <v>743473</v>
      </c>
      <c r="O130" s="45">
        <v>743473</v>
      </c>
      <c r="P130" s="66">
        <f t="shared" si="12"/>
        <v>99.33197323083131</v>
      </c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</row>
    <row r="131" spans="1:30" s="10" customFormat="1" ht="13.5" customHeight="1">
      <c r="A131" s="60" t="s">
        <v>117</v>
      </c>
      <c r="B131" s="62"/>
      <c r="C131" s="62"/>
      <c r="D131" s="62"/>
      <c r="E131" s="62"/>
      <c r="F131" s="62"/>
      <c r="G131" s="62"/>
      <c r="H131" s="62"/>
      <c r="I131" s="62"/>
      <c r="J131" s="68"/>
      <c r="K131" s="68"/>
      <c r="L131" s="68"/>
      <c r="M131" s="83">
        <f>M132+M133</f>
        <v>6383000</v>
      </c>
      <c r="N131" s="83">
        <f>N132+N133</f>
        <v>0</v>
      </c>
      <c r="O131" s="83">
        <f>O132+O133</f>
        <v>230000</v>
      </c>
      <c r="P131" s="61">
        <f t="shared" si="12"/>
        <v>3.603321322262259</v>
      </c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</row>
    <row r="132" spans="1:30" s="10" customFormat="1" ht="15" customHeight="1">
      <c r="A132" s="62" t="s">
        <v>157</v>
      </c>
      <c r="B132" s="62" t="s">
        <v>44</v>
      </c>
      <c r="C132" s="62" t="s">
        <v>7</v>
      </c>
      <c r="D132" s="62">
        <v>13</v>
      </c>
      <c r="E132" s="62" t="s">
        <v>29</v>
      </c>
      <c r="F132" s="62" t="s">
        <v>15</v>
      </c>
      <c r="G132" s="62" t="s">
        <v>13</v>
      </c>
      <c r="H132" s="62">
        <v>11260</v>
      </c>
      <c r="I132" s="62" t="s">
        <v>32</v>
      </c>
      <c r="J132" s="68"/>
      <c r="K132" s="68"/>
      <c r="L132" s="68"/>
      <c r="M132" s="95">
        <f>6383000-230000</f>
        <v>6153000</v>
      </c>
      <c r="N132" s="42"/>
      <c r="O132" s="45"/>
      <c r="P132" s="66">
        <f t="shared" si="12"/>
        <v>0</v>
      </c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</row>
    <row r="133" spans="1:16" s="14" customFormat="1" ht="24">
      <c r="A133" s="62" t="s">
        <v>202</v>
      </c>
      <c r="B133" s="62" t="s">
        <v>44</v>
      </c>
      <c r="C133" s="62" t="s">
        <v>7</v>
      </c>
      <c r="D133" s="62">
        <v>13</v>
      </c>
      <c r="E133" s="62" t="s">
        <v>29</v>
      </c>
      <c r="F133" s="62" t="s">
        <v>15</v>
      </c>
      <c r="G133" s="62" t="s">
        <v>13</v>
      </c>
      <c r="H133" s="62">
        <v>11260</v>
      </c>
      <c r="I133" s="62" t="s">
        <v>32</v>
      </c>
      <c r="J133" s="68"/>
      <c r="K133" s="68"/>
      <c r="L133" s="68"/>
      <c r="M133" s="93">
        <v>230000</v>
      </c>
      <c r="N133" s="42">
        <v>0</v>
      </c>
      <c r="O133" s="45">
        <v>230000</v>
      </c>
      <c r="P133" s="66">
        <f t="shared" si="12"/>
        <v>100</v>
      </c>
    </row>
    <row r="134" spans="1:16" s="14" customFormat="1" ht="22.5" customHeight="1">
      <c r="A134" s="71" t="s">
        <v>200</v>
      </c>
      <c r="B134" s="62"/>
      <c r="C134" s="62"/>
      <c r="D134" s="62"/>
      <c r="E134" s="62"/>
      <c r="F134" s="62"/>
      <c r="G134" s="62"/>
      <c r="H134" s="62"/>
      <c r="I134" s="62"/>
      <c r="J134" s="68"/>
      <c r="K134" s="68"/>
      <c r="L134" s="68"/>
      <c r="M134" s="97">
        <v>230000</v>
      </c>
      <c r="N134" s="43">
        <v>0</v>
      </c>
      <c r="O134" s="111">
        <v>230000</v>
      </c>
      <c r="P134" s="69">
        <f t="shared" si="12"/>
        <v>100</v>
      </c>
    </row>
    <row r="135" spans="1:30" s="10" customFormat="1" ht="15.75" customHeight="1">
      <c r="A135" s="60" t="s">
        <v>118</v>
      </c>
      <c r="B135" s="62"/>
      <c r="C135" s="62"/>
      <c r="D135" s="62"/>
      <c r="E135" s="62"/>
      <c r="F135" s="62"/>
      <c r="G135" s="62"/>
      <c r="H135" s="62"/>
      <c r="I135" s="62"/>
      <c r="J135" s="68"/>
      <c r="K135" s="68"/>
      <c r="L135" s="68"/>
      <c r="M135" s="83">
        <f>M136</f>
        <v>842225</v>
      </c>
      <c r="N135" s="83">
        <f>N136</f>
        <v>842225</v>
      </c>
      <c r="O135" s="83">
        <f>O136</f>
        <v>842225</v>
      </c>
      <c r="P135" s="61">
        <f t="shared" si="12"/>
        <v>100</v>
      </c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</row>
    <row r="136" spans="1:30" s="10" customFormat="1" ht="14.25" customHeight="1">
      <c r="A136" s="62" t="s">
        <v>427</v>
      </c>
      <c r="B136" s="62" t="s">
        <v>44</v>
      </c>
      <c r="C136" s="62" t="s">
        <v>7</v>
      </c>
      <c r="D136" s="62">
        <v>13</v>
      </c>
      <c r="E136" s="62" t="s">
        <v>29</v>
      </c>
      <c r="F136" s="62" t="s">
        <v>15</v>
      </c>
      <c r="G136" s="62" t="s">
        <v>13</v>
      </c>
      <c r="H136" s="62">
        <v>11260</v>
      </c>
      <c r="I136" s="62" t="s">
        <v>32</v>
      </c>
      <c r="J136" s="68" t="s">
        <v>63</v>
      </c>
      <c r="K136" s="68">
        <v>11</v>
      </c>
      <c r="L136" s="68"/>
      <c r="M136" s="95">
        <v>842225</v>
      </c>
      <c r="N136" s="45">
        <v>842225</v>
      </c>
      <c r="O136" s="45">
        <v>842225</v>
      </c>
      <c r="P136" s="66">
        <f t="shared" si="12"/>
        <v>100</v>
      </c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</row>
    <row r="137" spans="1:30" s="10" customFormat="1" ht="15" customHeight="1">
      <c r="A137" s="60" t="s">
        <v>66</v>
      </c>
      <c r="B137" s="62"/>
      <c r="C137" s="62"/>
      <c r="D137" s="62"/>
      <c r="E137" s="62"/>
      <c r="F137" s="62"/>
      <c r="G137" s="62"/>
      <c r="H137" s="62"/>
      <c r="I137" s="62"/>
      <c r="J137" s="68"/>
      <c r="K137" s="68"/>
      <c r="L137" s="68"/>
      <c r="M137" s="83">
        <f>M138</f>
        <v>8502400</v>
      </c>
      <c r="N137" s="83">
        <f>N138</f>
        <v>8252400</v>
      </c>
      <c r="O137" s="83">
        <f>O138</f>
        <v>8252400</v>
      </c>
      <c r="P137" s="61">
        <f aca="true" t="shared" si="19" ref="P137:P200">O137/M137*100</f>
        <v>97.059653744825</v>
      </c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</row>
    <row r="138" spans="1:30" s="10" customFormat="1" ht="12.75">
      <c r="A138" s="62" t="s">
        <v>158</v>
      </c>
      <c r="B138" s="62" t="s">
        <v>44</v>
      </c>
      <c r="C138" s="62" t="s">
        <v>7</v>
      </c>
      <c r="D138" s="62">
        <v>13</v>
      </c>
      <c r="E138" s="62" t="s">
        <v>29</v>
      </c>
      <c r="F138" s="62" t="s">
        <v>15</v>
      </c>
      <c r="G138" s="62" t="s">
        <v>13</v>
      </c>
      <c r="H138" s="62">
        <v>11260</v>
      </c>
      <c r="I138" s="62" t="s">
        <v>32</v>
      </c>
      <c r="J138" s="68" t="s">
        <v>229</v>
      </c>
      <c r="K138" s="68">
        <v>2500</v>
      </c>
      <c r="L138" s="68"/>
      <c r="M138" s="95">
        <v>8502400</v>
      </c>
      <c r="N138" s="45">
        <v>8252400</v>
      </c>
      <c r="O138" s="45">
        <v>8252400</v>
      </c>
      <c r="P138" s="66">
        <f t="shared" si="19"/>
        <v>97.059653744825</v>
      </c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</row>
    <row r="139" spans="1:30" ht="39" customHeight="1">
      <c r="A139" s="82" t="s">
        <v>46</v>
      </c>
      <c r="B139" s="60" t="s">
        <v>44</v>
      </c>
      <c r="C139" s="60" t="s">
        <v>8</v>
      </c>
      <c r="D139" s="60"/>
      <c r="E139" s="62" t="s">
        <v>0</v>
      </c>
      <c r="F139" s="62" t="s">
        <v>0</v>
      </c>
      <c r="G139" s="62" t="s">
        <v>0</v>
      </c>
      <c r="H139" s="62" t="s">
        <v>0</v>
      </c>
      <c r="I139" s="62" t="s">
        <v>0</v>
      </c>
      <c r="J139" s="70"/>
      <c r="K139" s="70"/>
      <c r="L139" s="70"/>
      <c r="M139" s="83">
        <f>M141</f>
        <v>5936804</v>
      </c>
      <c r="N139" s="83">
        <f>N141</f>
        <v>4252980.88</v>
      </c>
      <c r="O139" s="83">
        <f>O141</f>
        <v>5035124.88</v>
      </c>
      <c r="P139" s="61">
        <f t="shared" si="19"/>
        <v>84.8120449992959</v>
      </c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</row>
    <row r="140" spans="1:30" s="11" customFormat="1" ht="38.25" customHeight="1">
      <c r="A140" s="82" t="s">
        <v>189</v>
      </c>
      <c r="B140" s="60" t="s">
        <v>44</v>
      </c>
      <c r="C140" s="60" t="s">
        <v>8</v>
      </c>
      <c r="D140" s="60">
        <v>14</v>
      </c>
      <c r="E140" s="62"/>
      <c r="F140" s="62"/>
      <c r="G140" s="62"/>
      <c r="H140" s="62"/>
      <c r="I140" s="62"/>
      <c r="J140" s="70"/>
      <c r="K140" s="70"/>
      <c r="L140" s="70"/>
      <c r="M140" s="83">
        <f aca="true" t="shared" si="20" ref="M140:O145">M141</f>
        <v>5936804</v>
      </c>
      <c r="N140" s="83">
        <f t="shared" si="20"/>
        <v>4252980.88</v>
      </c>
      <c r="O140" s="83">
        <f t="shared" si="20"/>
        <v>5035124.88</v>
      </c>
      <c r="P140" s="61">
        <f t="shared" si="19"/>
        <v>84.8120449992959</v>
      </c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</row>
    <row r="141" spans="1:30" ht="24">
      <c r="A141" s="82" t="s">
        <v>28</v>
      </c>
      <c r="B141" s="60" t="s">
        <v>44</v>
      </c>
      <c r="C141" s="60" t="s">
        <v>8</v>
      </c>
      <c r="D141" s="60">
        <v>14</v>
      </c>
      <c r="E141" s="60" t="s">
        <v>29</v>
      </c>
      <c r="F141" s="62"/>
      <c r="G141" s="62"/>
      <c r="H141" s="62"/>
      <c r="I141" s="62"/>
      <c r="J141" s="70"/>
      <c r="K141" s="70"/>
      <c r="L141" s="70"/>
      <c r="M141" s="83">
        <f t="shared" si="20"/>
        <v>5936804</v>
      </c>
      <c r="N141" s="83">
        <f t="shared" si="20"/>
        <v>4252980.88</v>
      </c>
      <c r="O141" s="83">
        <f t="shared" si="20"/>
        <v>5035124.88</v>
      </c>
      <c r="P141" s="61">
        <f t="shared" si="19"/>
        <v>84.8120449992959</v>
      </c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</row>
    <row r="142" spans="1:30" ht="24" customHeight="1">
      <c r="A142" s="82" t="s">
        <v>59</v>
      </c>
      <c r="B142" s="60" t="s">
        <v>44</v>
      </c>
      <c r="C142" s="60" t="s">
        <v>8</v>
      </c>
      <c r="D142" s="60">
        <v>14</v>
      </c>
      <c r="E142" s="60" t="s">
        <v>29</v>
      </c>
      <c r="F142" s="62"/>
      <c r="G142" s="62"/>
      <c r="H142" s="62"/>
      <c r="I142" s="62"/>
      <c r="J142" s="70"/>
      <c r="K142" s="70"/>
      <c r="L142" s="70"/>
      <c r="M142" s="83">
        <f t="shared" si="20"/>
        <v>5936804</v>
      </c>
      <c r="N142" s="83">
        <f t="shared" si="20"/>
        <v>4252980.88</v>
      </c>
      <c r="O142" s="83">
        <f t="shared" si="20"/>
        <v>5035124.88</v>
      </c>
      <c r="P142" s="61">
        <f t="shared" si="19"/>
        <v>84.8120449992959</v>
      </c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</row>
    <row r="143" spans="1:30" ht="15" customHeight="1">
      <c r="A143" s="82" t="s">
        <v>21</v>
      </c>
      <c r="B143" s="60" t="s">
        <v>44</v>
      </c>
      <c r="C143" s="60" t="s">
        <v>8</v>
      </c>
      <c r="D143" s="60">
        <v>14</v>
      </c>
      <c r="E143" s="60" t="s">
        <v>29</v>
      </c>
      <c r="F143" s="60" t="s">
        <v>15</v>
      </c>
      <c r="G143" s="60" t="s">
        <v>0</v>
      </c>
      <c r="H143" s="60" t="s">
        <v>0</v>
      </c>
      <c r="I143" s="60" t="s">
        <v>0</v>
      </c>
      <c r="J143" s="79"/>
      <c r="K143" s="79"/>
      <c r="L143" s="79"/>
      <c r="M143" s="83">
        <f t="shared" si="20"/>
        <v>5936804</v>
      </c>
      <c r="N143" s="83">
        <f t="shared" si="20"/>
        <v>4252980.88</v>
      </c>
      <c r="O143" s="83">
        <f t="shared" si="20"/>
        <v>5035124.88</v>
      </c>
      <c r="P143" s="61">
        <f t="shared" si="19"/>
        <v>84.8120449992959</v>
      </c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</row>
    <row r="144" spans="1:30" ht="15" customHeight="1">
      <c r="A144" s="82" t="s">
        <v>23</v>
      </c>
      <c r="B144" s="60" t="s">
        <v>44</v>
      </c>
      <c r="C144" s="60" t="s">
        <v>8</v>
      </c>
      <c r="D144" s="60">
        <v>14</v>
      </c>
      <c r="E144" s="60" t="s">
        <v>29</v>
      </c>
      <c r="F144" s="60" t="s">
        <v>15</v>
      </c>
      <c r="G144" s="60" t="s">
        <v>13</v>
      </c>
      <c r="H144" s="60" t="s">
        <v>0</v>
      </c>
      <c r="I144" s="60" t="s">
        <v>0</v>
      </c>
      <c r="J144" s="79"/>
      <c r="K144" s="79"/>
      <c r="L144" s="79"/>
      <c r="M144" s="83">
        <f t="shared" si="20"/>
        <v>5936804</v>
      </c>
      <c r="N144" s="83">
        <f t="shared" si="20"/>
        <v>4252980.88</v>
      </c>
      <c r="O144" s="83">
        <f t="shared" si="20"/>
        <v>5035124.88</v>
      </c>
      <c r="P144" s="61">
        <f t="shared" si="19"/>
        <v>84.8120449992959</v>
      </c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</row>
    <row r="145" spans="1:30" ht="24.75" customHeight="1">
      <c r="A145" s="82" t="s">
        <v>30</v>
      </c>
      <c r="B145" s="60" t="s">
        <v>44</v>
      </c>
      <c r="C145" s="60" t="s">
        <v>8</v>
      </c>
      <c r="D145" s="60">
        <v>14</v>
      </c>
      <c r="E145" s="60" t="s">
        <v>29</v>
      </c>
      <c r="F145" s="60" t="s">
        <v>15</v>
      </c>
      <c r="G145" s="60" t="s">
        <v>13</v>
      </c>
      <c r="H145" s="60">
        <v>11260</v>
      </c>
      <c r="I145" s="60" t="s">
        <v>0</v>
      </c>
      <c r="J145" s="79"/>
      <c r="K145" s="79"/>
      <c r="L145" s="79"/>
      <c r="M145" s="83">
        <f t="shared" si="20"/>
        <v>5936804</v>
      </c>
      <c r="N145" s="83">
        <f t="shared" si="20"/>
        <v>4252980.88</v>
      </c>
      <c r="O145" s="83">
        <f t="shared" si="20"/>
        <v>5035124.88</v>
      </c>
      <c r="P145" s="61">
        <f t="shared" si="19"/>
        <v>84.8120449992959</v>
      </c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</row>
    <row r="146" spans="1:30" ht="36" customHeight="1">
      <c r="A146" s="82" t="s">
        <v>31</v>
      </c>
      <c r="B146" s="60" t="s">
        <v>44</v>
      </c>
      <c r="C146" s="60" t="s">
        <v>8</v>
      </c>
      <c r="D146" s="60">
        <v>14</v>
      </c>
      <c r="E146" s="60" t="s">
        <v>29</v>
      </c>
      <c r="F146" s="60" t="s">
        <v>15</v>
      </c>
      <c r="G146" s="60" t="s">
        <v>13</v>
      </c>
      <c r="H146" s="60">
        <v>11260</v>
      </c>
      <c r="I146" s="60" t="s">
        <v>32</v>
      </c>
      <c r="J146" s="79"/>
      <c r="K146" s="79"/>
      <c r="L146" s="70"/>
      <c r="M146" s="83">
        <f>M147+M150+M159</f>
        <v>5936804</v>
      </c>
      <c r="N146" s="83">
        <f>N147+N150+N159</f>
        <v>4252980.88</v>
      </c>
      <c r="O146" s="83">
        <f>O147+O150+O159</f>
        <v>5035124.88</v>
      </c>
      <c r="P146" s="61">
        <f t="shared" si="19"/>
        <v>84.8120449992959</v>
      </c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</row>
    <row r="147" spans="1:30" ht="26.25" customHeight="1">
      <c r="A147" s="60" t="s">
        <v>84</v>
      </c>
      <c r="B147" s="60" t="s">
        <v>44</v>
      </c>
      <c r="C147" s="60" t="s">
        <v>8</v>
      </c>
      <c r="D147" s="60">
        <v>14</v>
      </c>
      <c r="E147" s="60" t="s">
        <v>29</v>
      </c>
      <c r="F147" s="60" t="s">
        <v>15</v>
      </c>
      <c r="G147" s="60" t="s">
        <v>13</v>
      </c>
      <c r="H147" s="60">
        <v>11260</v>
      </c>
      <c r="I147" s="60" t="s">
        <v>32</v>
      </c>
      <c r="J147" s="68"/>
      <c r="K147" s="68"/>
      <c r="L147" s="68"/>
      <c r="M147" s="83">
        <f aca="true" t="shared" si="21" ref="M147:O148">M148</f>
        <v>758319</v>
      </c>
      <c r="N147" s="83">
        <f t="shared" si="21"/>
        <v>679822</v>
      </c>
      <c r="O147" s="83">
        <f t="shared" si="21"/>
        <v>679822</v>
      </c>
      <c r="P147" s="61">
        <f t="shared" si="19"/>
        <v>89.64855159899724</v>
      </c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</row>
    <row r="148" spans="1:30" ht="12.75">
      <c r="A148" s="103" t="s">
        <v>70</v>
      </c>
      <c r="B148" s="62"/>
      <c r="C148" s="62"/>
      <c r="D148" s="62"/>
      <c r="E148" s="62"/>
      <c r="F148" s="62"/>
      <c r="G148" s="62"/>
      <c r="H148" s="62"/>
      <c r="I148" s="62"/>
      <c r="J148" s="68"/>
      <c r="K148" s="68"/>
      <c r="L148" s="68"/>
      <c r="M148" s="83">
        <f t="shared" si="21"/>
        <v>758319</v>
      </c>
      <c r="N148" s="83">
        <f t="shared" si="21"/>
        <v>679822</v>
      </c>
      <c r="O148" s="83">
        <f t="shared" si="21"/>
        <v>679822</v>
      </c>
      <c r="P148" s="61">
        <f t="shared" si="19"/>
        <v>89.64855159899724</v>
      </c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</row>
    <row r="149" spans="1:30" ht="14.25" customHeight="1">
      <c r="A149" s="88" t="s">
        <v>153</v>
      </c>
      <c r="B149" s="62" t="s">
        <v>44</v>
      </c>
      <c r="C149" s="62" t="s">
        <v>8</v>
      </c>
      <c r="D149" s="62">
        <v>14</v>
      </c>
      <c r="E149" s="62" t="s">
        <v>29</v>
      </c>
      <c r="F149" s="62" t="s">
        <v>15</v>
      </c>
      <c r="G149" s="62" t="s">
        <v>13</v>
      </c>
      <c r="H149" s="62">
        <v>11260</v>
      </c>
      <c r="I149" s="62" t="s">
        <v>32</v>
      </c>
      <c r="J149" s="68" t="s">
        <v>63</v>
      </c>
      <c r="K149" s="68">
        <v>4.626</v>
      </c>
      <c r="L149" s="68"/>
      <c r="M149" s="95">
        <f>484755+273564</f>
        <v>758319</v>
      </c>
      <c r="N149" s="45">
        <v>679822</v>
      </c>
      <c r="O149" s="45">
        <v>679822</v>
      </c>
      <c r="P149" s="66">
        <f t="shared" si="19"/>
        <v>89.64855159899724</v>
      </c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</row>
    <row r="150" spans="1:30" ht="25.5" customHeight="1">
      <c r="A150" s="60" t="s">
        <v>85</v>
      </c>
      <c r="B150" s="60" t="s">
        <v>44</v>
      </c>
      <c r="C150" s="60" t="s">
        <v>8</v>
      </c>
      <c r="D150" s="60">
        <v>14</v>
      </c>
      <c r="E150" s="60" t="s">
        <v>29</v>
      </c>
      <c r="F150" s="60" t="s">
        <v>15</v>
      </c>
      <c r="G150" s="60" t="s">
        <v>13</v>
      </c>
      <c r="H150" s="60">
        <v>11260</v>
      </c>
      <c r="I150" s="60" t="s">
        <v>32</v>
      </c>
      <c r="J150" s="68"/>
      <c r="K150" s="68"/>
      <c r="L150" s="68"/>
      <c r="M150" s="83">
        <f>M154+M151</f>
        <v>4893541</v>
      </c>
      <c r="N150" s="83">
        <f>N154+N151</f>
        <v>3573158.88</v>
      </c>
      <c r="O150" s="83">
        <f>O154+O151</f>
        <v>4070358.88</v>
      </c>
      <c r="P150" s="61">
        <f t="shared" si="19"/>
        <v>83.17819100728899</v>
      </c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</row>
    <row r="151" spans="1:16" s="14" customFormat="1" ht="12.75">
      <c r="A151" s="73" t="s">
        <v>65</v>
      </c>
      <c r="B151" s="60"/>
      <c r="C151" s="60"/>
      <c r="D151" s="60"/>
      <c r="E151" s="60"/>
      <c r="F151" s="60"/>
      <c r="G151" s="60"/>
      <c r="H151" s="60"/>
      <c r="I151" s="60"/>
      <c r="J151" s="68"/>
      <c r="K151" s="68"/>
      <c r="L151" s="68"/>
      <c r="M151" s="94">
        <f>M152</f>
        <v>97200</v>
      </c>
      <c r="N151" s="94">
        <f>N152</f>
        <v>0</v>
      </c>
      <c r="O151" s="94">
        <f>O152</f>
        <v>97200</v>
      </c>
      <c r="P151" s="61">
        <f t="shared" si="19"/>
        <v>100</v>
      </c>
    </row>
    <row r="152" spans="1:16" s="14" customFormat="1" ht="13.5" customHeight="1">
      <c r="A152" s="88" t="s">
        <v>402</v>
      </c>
      <c r="B152" s="62" t="s">
        <v>44</v>
      </c>
      <c r="C152" s="62" t="s">
        <v>8</v>
      </c>
      <c r="D152" s="62">
        <v>14</v>
      </c>
      <c r="E152" s="62" t="s">
        <v>29</v>
      </c>
      <c r="F152" s="62" t="s">
        <v>15</v>
      </c>
      <c r="G152" s="62" t="s">
        <v>13</v>
      </c>
      <c r="H152" s="62">
        <v>11260</v>
      </c>
      <c r="I152" s="62" t="s">
        <v>32</v>
      </c>
      <c r="J152" s="68" t="s">
        <v>370</v>
      </c>
      <c r="K152" s="68">
        <v>1</v>
      </c>
      <c r="L152" s="68"/>
      <c r="M152" s="93">
        <v>97200</v>
      </c>
      <c r="N152" s="42">
        <v>0</v>
      </c>
      <c r="O152" s="42">
        <v>97200</v>
      </c>
      <c r="P152" s="66">
        <f t="shared" si="19"/>
        <v>100</v>
      </c>
    </row>
    <row r="153" spans="1:16" s="14" customFormat="1" ht="25.5" customHeight="1">
      <c r="A153" s="90" t="s">
        <v>200</v>
      </c>
      <c r="B153" s="62"/>
      <c r="C153" s="62"/>
      <c r="D153" s="62"/>
      <c r="E153" s="62"/>
      <c r="F153" s="62"/>
      <c r="G153" s="62"/>
      <c r="H153" s="62"/>
      <c r="I153" s="62"/>
      <c r="J153" s="72"/>
      <c r="K153" s="72"/>
      <c r="L153" s="68"/>
      <c r="M153" s="97">
        <v>97200</v>
      </c>
      <c r="N153" s="43">
        <v>0</v>
      </c>
      <c r="O153" s="43">
        <v>97200</v>
      </c>
      <c r="P153" s="69">
        <f t="shared" si="19"/>
        <v>100</v>
      </c>
    </row>
    <row r="154" spans="1:16" s="14" customFormat="1" ht="12.75">
      <c r="A154" s="73" t="s">
        <v>62</v>
      </c>
      <c r="B154" s="62"/>
      <c r="C154" s="62"/>
      <c r="D154" s="62"/>
      <c r="E154" s="62"/>
      <c r="F154" s="62"/>
      <c r="G154" s="62"/>
      <c r="H154" s="62"/>
      <c r="I154" s="62"/>
      <c r="J154" s="68"/>
      <c r="K154" s="68"/>
      <c r="L154" s="68"/>
      <c r="M154" s="94">
        <f>M155+M156+M158</f>
        <v>4796341</v>
      </c>
      <c r="N154" s="94">
        <f>N155+N156+N158</f>
        <v>3573158.88</v>
      </c>
      <c r="O154" s="94">
        <f>O155+O156+O158</f>
        <v>3973158.88</v>
      </c>
      <c r="P154" s="61">
        <f t="shared" si="19"/>
        <v>82.83728950881516</v>
      </c>
    </row>
    <row r="155" spans="1:16" s="14" customFormat="1" ht="25.5" customHeight="1">
      <c r="A155" s="62" t="s">
        <v>428</v>
      </c>
      <c r="B155" s="62" t="s">
        <v>44</v>
      </c>
      <c r="C155" s="62" t="s">
        <v>8</v>
      </c>
      <c r="D155" s="62">
        <v>14</v>
      </c>
      <c r="E155" s="62" t="s">
        <v>29</v>
      </c>
      <c r="F155" s="62" t="s">
        <v>15</v>
      </c>
      <c r="G155" s="62" t="s">
        <v>13</v>
      </c>
      <c r="H155" s="62">
        <v>11260</v>
      </c>
      <c r="I155" s="62" t="s">
        <v>32</v>
      </c>
      <c r="J155" s="72" t="s">
        <v>108</v>
      </c>
      <c r="K155" s="72" t="s">
        <v>224</v>
      </c>
      <c r="L155" s="68">
        <v>2016</v>
      </c>
      <c r="M155" s="93">
        <f>391300+2500000</f>
        <v>2891300</v>
      </c>
      <c r="N155" s="48">
        <v>2068117.88</v>
      </c>
      <c r="O155" s="48">
        <v>2068117.88</v>
      </c>
      <c r="P155" s="66">
        <f t="shared" si="19"/>
        <v>71.52899664510774</v>
      </c>
    </row>
    <row r="156" spans="1:16" s="14" customFormat="1" ht="23.25" customHeight="1">
      <c r="A156" s="62" t="s">
        <v>333</v>
      </c>
      <c r="B156" s="62" t="s">
        <v>44</v>
      </c>
      <c r="C156" s="62" t="s">
        <v>8</v>
      </c>
      <c r="D156" s="62">
        <v>14</v>
      </c>
      <c r="E156" s="62" t="s">
        <v>29</v>
      </c>
      <c r="F156" s="62" t="s">
        <v>15</v>
      </c>
      <c r="G156" s="62" t="s">
        <v>13</v>
      </c>
      <c r="H156" s="62">
        <v>11260</v>
      </c>
      <c r="I156" s="62" t="s">
        <v>32</v>
      </c>
      <c r="J156" s="72" t="s">
        <v>108</v>
      </c>
      <c r="K156" s="72" t="s">
        <v>109</v>
      </c>
      <c r="L156" s="68">
        <v>2017</v>
      </c>
      <c r="M156" s="93">
        <f>1645300-26759</f>
        <v>1618541</v>
      </c>
      <c r="N156" s="40">
        <f>1618541-400000</f>
        <v>1218541</v>
      </c>
      <c r="O156" s="40">
        <v>1618541</v>
      </c>
      <c r="P156" s="66">
        <f t="shared" si="19"/>
        <v>100</v>
      </c>
    </row>
    <row r="157" spans="1:16" s="14" customFormat="1" ht="27" customHeight="1">
      <c r="A157" s="71" t="s">
        <v>200</v>
      </c>
      <c r="B157" s="62"/>
      <c r="C157" s="62"/>
      <c r="D157" s="62"/>
      <c r="E157" s="62"/>
      <c r="F157" s="62"/>
      <c r="G157" s="62"/>
      <c r="H157" s="62"/>
      <c r="I157" s="62"/>
      <c r="J157" s="72"/>
      <c r="K157" s="72"/>
      <c r="L157" s="68"/>
      <c r="M157" s="97">
        <v>400000</v>
      </c>
      <c r="N157" s="44">
        <v>0</v>
      </c>
      <c r="O157" s="44">
        <v>400000</v>
      </c>
      <c r="P157" s="69">
        <f t="shared" si="19"/>
        <v>100</v>
      </c>
    </row>
    <row r="158" spans="1:30" s="10" customFormat="1" ht="26.25" customHeight="1">
      <c r="A158" s="62" t="s">
        <v>403</v>
      </c>
      <c r="B158" s="62" t="s">
        <v>44</v>
      </c>
      <c r="C158" s="62">
        <v>2</v>
      </c>
      <c r="D158" s="62">
        <v>14</v>
      </c>
      <c r="E158" s="62" t="s">
        <v>29</v>
      </c>
      <c r="F158" s="62" t="s">
        <v>15</v>
      </c>
      <c r="G158" s="62" t="s">
        <v>13</v>
      </c>
      <c r="H158" s="62">
        <v>11260</v>
      </c>
      <c r="I158" s="62" t="s">
        <v>32</v>
      </c>
      <c r="J158" s="72" t="s">
        <v>108</v>
      </c>
      <c r="K158" s="72" t="s">
        <v>225</v>
      </c>
      <c r="L158" s="68"/>
      <c r="M158" s="95">
        <f>156500+130000</f>
        <v>286500</v>
      </c>
      <c r="N158" s="40">
        <v>286500</v>
      </c>
      <c r="O158" s="40">
        <v>286500</v>
      </c>
      <c r="P158" s="66">
        <f t="shared" si="19"/>
        <v>100</v>
      </c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</row>
    <row r="159" spans="1:16" s="14" customFormat="1" ht="26.25" customHeight="1">
      <c r="A159" s="103" t="s">
        <v>218</v>
      </c>
      <c r="B159" s="60" t="s">
        <v>44</v>
      </c>
      <c r="C159" s="60" t="s">
        <v>8</v>
      </c>
      <c r="D159" s="60">
        <v>14</v>
      </c>
      <c r="E159" s="60" t="s">
        <v>29</v>
      </c>
      <c r="F159" s="60" t="s">
        <v>15</v>
      </c>
      <c r="G159" s="60" t="s">
        <v>13</v>
      </c>
      <c r="H159" s="60">
        <v>11260</v>
      </c>
      <c r="I159" s="60" t="s">
        <v>32</v>
      </c>
      <c r="J159" s="72"/>
      <c r="K159" s="72"/>
      <c r="L159" s="68"/>
      <c r="M159" s="94">
        <f>M160+M163</f>
        <v>284944</v>
      </c>
      <c r="N159" s="94">
        <f>N160+N163</f>
        <v>0</v>
      </c>
      <c r="O159" s="94">
        <f>O160+O163</f>
        <v>284944</v>
      </c>
      <c r="P159" s="61">
        <f t="shared" si="19"/>
        <v>100</v>
      </c>
    </row>
    <row r="160" spans="1:16" s="14" customFormat="1" ht="12.75">
      <c r="A160" s="103" t="s">
        <v>70</v>
      </c>
      <c r="B160" s="62"/>
      <c r="C160" s="62"/>
      <c r="D160" s="62"/>
      <c r="E160" s="62"/>
      <c r="F160" s="62"/>
      <c r="G160" s="62"/>
      <c r="H160" s="62"/>
      <c r="I160" s="62"/>
      <c r="J160" s="72"/>
      <c r="K160" s="72"/>
      <c r="L160" s="68"/>
      <c r="M160" s="94">
        <f>M161</f>
        <v>26759</v>
      </c>
      <c r="N160" s="94">
        <f>N161</f>
        <v>0</v>
      </c>
      <c r="O160" s="94">
        <f>O161</f>
        <v>26759</v>
      </c>
      <c r="P160" s="61">
        <f t="shared" si="19"/>
        <v>100</v>
      </c>
    </row>
    <row r="161" spans="1:16" s="14" customFormat="1" ht="24" customHeight="1">
      <c r="A161" s="88" t="s">
        <v>334</v>
      </c>
      <c r="B161" s="62" t="s">
        <v>44</v>
      </c>
      <c r="C161" s="62" t="s">
        <v>8</v>
      </c>
      <c r="D161" s="62">
        <v>14</v>
      </c>
      <c r="E161" s="62" t="s">
        <v>29</v>
      </c>
      <c r="F161" s="62" t="s">
        <v>15</v>
      </c>
      <c r="G161" s="62" t="s">
        <v>13</v>
      </c>
      <c r="H161" s="62">
        <v>11260</v>
      </c>
      <c r="I161" s="62" t="s">
        <v>32</v>
      </c>
      <c r="J161" s="72"/>
      <c r="K161" s="72"/>
      <c r="L161" s="68"/>
      <c r="M161" s="93">
        <v>26759</v>
      </c>
      <c r="N161" s="46">
        <v>0</v>
      </c>
      <c r="O161" s="46">
        <v>26759</v>
      </c>
      <c r="P161" s="66">
        <f t="shared" si="19"/>
        <v>100</v>
      </c>
    </row>
    <row r="162" spans="1:16" s="14" customFormat="1" ht="24" customHeight="1">
      <c r="A162" s="90" t="s">
        <v>200</v>
      </c>
      <c r="B162" s="62"/>
      <c r="C162" s="62"/>
      <c r="D162" s="62"/>
      <c r="E162" s="62"/>
      <c r="F162" s="62"/>
      <c r="G162" s="62"/>
      <c r="H162" s="62"/>
      <c r="I162" s="62"/>
      <c r="J162" s="72"/>
      <c r="K162" s="72"/>
      <c r="L162" s="68"/>
      <c r="M162" s="97">
        <v>26759</v>
      </c>
      <c r="N162" s="47">
        <v>0</v>
      </c>
      <c r="O162" s="47">
        <v>26759</v>
      </c>
      <c r="P162" s="69">
        <f t="shared" si="19"/>
        <v>100</v>
      </c>
    </row>
    <row r="163" spans="1:16" s="14" customFormat="1" ht="17.25" customHeight="1">
      <c r="A163" s="103" t="s">
        <v>62</v>
      </c>
      <c r="B163" s="62"/>
      <c r="C163" s="62"/>
      <c r="D163" s="62"/>
      <c r="E163" s="62"/>
      <c r="F163" s="62"/>
      <c r="G163" s="62"/>
      <c r="H163" s="62"/>
      <c r="I163" s="62"/>
      <c r="J163" s="72"/>
      <c r="K163" s="72"/>
      <c r="L163" s="68"/>
      <c r="M163" s="94">
        <f>M164</f>
        <v>258185</v>
      </c>
      <c r="N163" s="94">
        <f>N164</f>
        <v>0</v>
      </c>
      <c r="O163" s="94">
        <f>O164</f>
        <v>258185</v>
      </c>
      <c r="P163" s="61">
        <f t="shared" si="19"/>
        <v>100</v>
      </c>
    </row>
    <row r="164" spans="1:16" s="14" customFormat="1" ht="12.75" customHeight="1">
      <c r="A164" s="88" t="s">
        <v>335</v>
      </c>
      <c r="B164" s="62" t="s">
        <v>44</v>
      </c>
      <c r="C164" s="62" t="s">
        <v>8</v>
      </c>
      <c r="D164" s="62">
        <v>14</v>
      </c>
      <c r="E164" s="62" t="s">
        <v>29</v>
      </c>
      <c r="F164" s="62" t="s">
        <v>15</v>
      </c>
      <c r="G164" s="62" t="s">
        <v>13</v>
      </c>
      <c r="H164" s="62">
        <v>11260</v>
      </c>
      <c r="I164" s="62" t="s">
        <v>32</v>
      </c>
      <c r="J164" s="72"/>
      <c r="K164" s="72"/>
      <c r="L164" s="68"/>
      <c r="M164" s="93">
        <v>258185</v>
      </c>
      <c r="N164" s="42">
        <v>0</v>
      </c>
      <c r="O164" s="42">
        <v>258185</v>
      </c>
      <c r="P164" s="66">
        <f t="shared" si="19"/>
        <v>100</v>
      </c>
    </row>
    <row r="165" spans="1:16" s="14" customFormat="1" ht="23.25" customHeight="1">
      <c r="A165" s="90" t="s">
        <v>200</v>
      </c>
      <c r="B165" s="62"/>
      <c r="C165" s="62"/>
      <c r="D165" s="62"/>
      <c r="E165" s="62"/>
      <c r="F165" s="62"/>
      <c r="G165" s="62"/>
      <c r="H165" s="62"/>
      <c r="I165" s="62"/>
      <c r="J165" s="72"/>
      <c r="K165" s="72"/>
      <c r="L165" s="68"/>
      <c r="M165" s="97">
        <v>258185</v>
      </c>
      <c r="N165" s="43">
        <v>0</v>
      </c>
      <c r="O165" s="43">
        <v>258185</v>
      </c>
      <c r="P165" s="69">
        <f t="shared" si="19"/>
        <v>100</v>
      </c>
    </row>
    <row r="166" spans="1:30" ht="25.5" customHeight="1">
      <c r="A166" s="82" t="s">
        <v>47</v>
      </c>
      <c r="B166" s="60" t="s">
        <v>44</v>
      </c>
      <c r="C166" s="60" t="s">
        <v>9</v>
      </c>
      <c r="D166" s="60"/>
      <c r="E166" s="62" t="s">
        <v>0</v>
      </c>
      <c r="F166" s="62" t="s">
        <v>0</v>
      </c>
      <c r="G166" s="62" t="s">
        <v>0</v>
      </c>
      <c r="H166" s="62" t="s">
        <v>0</v>
      </c>
      <c r="I166" s="62" t="s">
        <v>0</v>
      </c>
      <c r="J166" s="70"/>
      <c r="K166" s="70"/>
      <c r="L166" s="70"/>
      <c r="M166" s="83">
        <f>M168</f>
        <v>116967473</v>
      </c>
      <c r="N166" s="83">
        <f>N168</f>
        <v>72274140.57000001</v>
      </c>
      <c r="O166" s="83">
        <f>O168</f>
        <v>77558913.80999999</v>
      </c>
      <c r="P166" s="61">
        <f t="shared" si="19"/>
        <v>66.30810414276453</v>
      </c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</row>
    <row r="167" spans="1:30" s="11" customFormat="1" ht="36.75" customHeight="1">
      <c r="A167" s="82" t="s">
        <v>190</v>
      </c>
      <c r="B167" s="60" t="s">
        <v>44</v>
      </c>
      <c r="C167" s="60" t="s">
        <v>9</v>
      </c>
      <c r="D167" s="60">
        <v>21</v>
      </c>
      <c r="E167" s="62"/>
      <c r="F167" s="62"/>
      <c r="G167" s="62"/>
      <c r="H167" s="62"/>
      <c r="I167" s="62"/>
      <c r="J167" s="70"/>
      <c r="K167" s="70"/>
      <c r="L167" s="70"/>
      <c r="M167" s="83">
        <f>M168</f>
        <v>116967473</v>
      </c>
      <c r="N167" s="83">
        <f aca="true" t="shared" si="22" ref="N167:O170">N168</f>
        <v>72274140.57000001</v>
      </c>
      <c r="O167" s="83">
        <f t="shared" si="22"/>
        <v>77558913.80999999</v>
      </c>
      <c r="P167" s="61">
        <f t="shared" si="19"/>
        <v>66.30810414276453</v>
      </c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</row>
    <row r="168" spans="1:30" ht="25.5" customHeight="1">
      <c r="A168" s="82" t="s">
        <v>28</v>
      </c>
      <c r="B168" s="60" t="s">
        <v>44</v>
      </c>
      <c r="C168" s="60" t="s">
        <v>9</v>
      </c>
      <c r="D168" s="60">
        <v>21</v>
      </c>
      <c r="E168" s="60" t="s">
        <v>29</v>
      </c>
      <c r="F168" s="62"/>
      <c r="G168" s="62"/>
      <c r="H168" s="62"/>
      <c r="I168" s="62"/>
      <c r="J168" s="70"/>
      <c r="K168" s="70"/>
      <c r="L168" s="70"/>
      <c r="M168" s="83">
        <f>M169</f>
        <v>116967473</v>
      </c>
      <c r="N168" s="83">
        <f t="shared" si="22"/>
        <v>72274140.57000001</v>
      </c>
      <c r="O168" s="83">
        <f t="shared" si="22"/>
        <v>77558913.80999999</v>
      </c>
      <c r="P168" s="61">
        <f t="shared" si="19"/>
        <v>66.30810414276453</v>
      </c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</row>
    <row r="169" spans="1:30" ht="27" customHeight="1">
      <c r="A169" s="82" t="s">
        <v>72</v>
      </c>
      <c r="B169" s="60" t="s">
        <v>44</v>
      </c>
      <c r="C169" s="60" t="s">
        <v>9</v>
      </c>
      <c r="D169" s="60">
        <v>21</v>
      </c>
      <c r="E169" s="60" t="s">
        <v>29</v>
      </c>
      <c r="F169" s="62"/>
      <c r="G169" s="62"/>
      <c r="H169" s="62"/>
      <c r="I169" s="62"/>
      <c r="J169" s="70"/>
      <c r="K169" s="70"/>
      <c r="L169" s="70"/>
      <c r="M169" s="83">
        <f>M170</f>
        <v>116967473</v>
      </c>
      <c r="N169" s="83">
        <f t="shared" si="22"/>
        <v>72274140.57000001</v>
      </c>
      <c r="O169" s="83">
        <f t="shared" si="22"/>
        <v>77558913.80999999</v>
      </c>
      <c r="P169" s="61">
        <f t="shared" si="19"/>
        <v>66.30810414276453</v>
      </c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</row>
    <row r="170" spans="1:30" ht="12.75">
      <c r="A170" s="82" t="s">
        <v>16</v>
      </c>
      <c r="B170" s="60" t="s">
        <v>44</v>
      </c>
      <c r="C170" s="60" t="s">
        <v>9</v>
      </c>
      <c r="D170" s="60">
        <v>21</v>
      </c>
      <c r="E170" s="60" t="s">
        <v>29</v>
      </c>
      <c r="F170" s="60" t="s">
        <v>14</v>
      </c>
      <c r="G170" s="60" t="s">
        <v>0</v>
      </c>
      <c r="H170" s="60" t="s">
        <v>0</v>
      </c>
      <c r="I170" s="60" t="s">
        <v>0</v>
      </c>
      <c r="J170" s="79"/>
      <c r="K170" s="79"/>
      <c r="L170" s="79"/>
      <c r="M170" s="83">
        <f>M171</f>
        <v>116967473</v>
      </c>
      <c r="N170" s="83">
        <f t="shared" si="22"/>
        <v>72274140.57000001</v>
      </c>
      <c r="O170" s="83">
        <f t="shared" si="22"/>
        <v>77558913.80999999</v>
      </c>
      <c r="P170" s="61">
        <f t="shared" si="19"/>
        <v>66.30810414276453</v>
      </c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</row>
    <row r="171" spans="1:30" ht="18.75" customHeight="1">
      <c r="A171" s="82" t="s">
        <v>48</v>
      </c>
      <c r="B171" s="60" t="s">
        <v>44</v>
      </c>
      <c r="C171" s="60" t="s">
        <v>9</v>
      </c>
      <c r="D171" s="60">
        <v>21</v>
      </c>
      <c r="E171" s="60" t="s">
        <v>29</v>
      </c>
      <c r="F171" s="60" t="s">
        <v>14</v>
      </c>
      <c r="G171" s="60" t="s">
        <v>20</v>
      </c>
      <c r="H171" s="60" t="s">
        <v>0</v>
      </c>
      <c r="I171" s="60" t="s">
        <v>0</v>
      </c>
      <c r="J171" s="79"/>
      <c r="K171" s="79"/>
      <c r="L171" s="79"/>
      <c r="M171" s="83">
        <f>M172+M173</f>
        <v>116967473</v>
      </c>
      <c r="N171" s="83">
        <f>N172+N173</f>
        <v>72274140.57000001</v>
      </c>
      <c r="O171" s="83">
        <f>O172+O173</f>
        <v>77558913.80999999</v>
      </c>
      <c r="P171" s="61">
        <f t="shared" si="19"/>
        <v>66.30810414276453</v>
      </c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</row>
    <row r="172" spans="1:30" ht="25.5" customHeight="1">
      <c r="A172" s="82" t="s">
        <v>49</v>
      </c>
      <c r="B172" s="60" t="s">
        <v>44</v>
      </c>
      <c r="C172" s="60" t="s">
        <v>9</v>
      </c>
      <c r="D172" s="60">
        <v>21</v>
      </c>
      <c r="E172" s="60" t="s">
        <v>29</v>
      </c>
      <c r="F172" s="60" t="s">
        <v>14</v>
      </c>
      <c r="G172" s="60" t="s">
        <v>20</v>
      </c>
      <c r="H172" s="60">
        <v>16140</v>
      </c>
      <c r="I172" s="60" t="s">
        <v>0</v>
      </c>
      <c r="J172" s="79"/>
      <c r="K172" s="79"/>
      <c r="L172" s="79"/>
      <c r="M172" s="83">
        <f aca="true" t="shared" si="23" ref="M172:O173">M174</f>
        <v>96819359</v>
      </c>
      <c r="N172" s="83">
        <f t="shared" si="23"/>
        <v>69481062.21000001</v>
      </c>
      <c r="O172" s="83">
        <f t="shared" si="23"/>
        <v>74963719.44999999</v>
      </c>
      <c r="P172" s="61">
        <f t="shared" si="19"/>
        <v>77.42637446091746</v>
      </c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</row>
    <row r="173" spans="1:30" s="11" customFormat="1" ht="102" customHeight="1">
      <c r="A173" s="104" t="s">
        <v>279</v>
      </c>
      <c r="B173" s="60" t="s">
        <v>44</v>
      </c>
      <c r="C173" s="60" t="s">
        <v>9</v>
      </c>
      <c r="D173" s="60">
        <v>21</v>
      </c>
      <c r="E173" s="60" t="s">
        <v>29</v>
      </c>
      <c r="F173" s="60" t="s">
        <v>14</v>
      </c>
      <c r="G173" s="60" t="s">
        <v>20</v>
      </c>
      <c r="H173" s="60" t="s">
        <v>274</v>
      </c>
      <c r="I173" s="60"/>
      <c r="J173" s="79"/>
      <c r="K173" s="79"/>
      <c r="L173" s="79"/>
      <c r="M173" s="83">
        <f t="shared" si="23"/>
        <v>20148114</v>
      </c>
      <c r="N173" s="83">
        <f t="shared" si="23"/>
        <v>2793078.36</v>
      </c>
      <c r="O173" s="83">
        <f t="shared" si="23"/>
        <v>2595194.36</v>
      </c>
      <c r="P173" s="61">
        <f t="shared" si="19"/>
        <v>12.88058207333947</v>
      </c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</row>
    <row r="174" spans="1:30" ht="18.75" customHeight="1">
      <c r="A174" s="196" t="s">
        <v>31</v>
      </c>
      <c r="B174" s="60" t="s">
        <v>44</v>
      </c>
      <c r="C174" s="60" t="s">
        <v>9</v>
      </c>
      <c r="D174" s="60">
        <v>21</v>
      </c>
      <c r="E174" s="60" t="s">
        <v>29</v>
      </c>
      <c r="F174" s="60" t="s">
        <v>14</v>
      </c>
      <c r="G174" s="60" t="s">
        <v>20</v>
      </c>
      <c r="H174" s="60">
        <v>16140</v>
      </c>
      <c r="I174" s="60" t="s">
        <v>32</v>
      </c>
      <c r="J174" s="79"/>
      <c r="K174" s="79"/>
      <c r="L174" s="79"/>
      <c r="M174" s="83">
        <f>M177+M179+M181+M184+M186+M187+M190+M192+M195+M197+M199+M201+M204+M206+M210+M213</f>
        <v>96819359</v>
      </c>
      <c r="N174" s="83">
        <f>N177+N179+N181+N184+N186+N187+N190+N192+N195+N197+N199+N201+N204+N206+N210+N213</f>
        <v>69481062.21000001</v>
      </c>
      <c r="O174" s="83">
        <f>O177+O179+O181+O184+O186+O187+O190+O192+O195+O197+O199+O201+O204+O206+O210+O213</f>
        <v>74963719.44999999</v>
      </c>
      <c r="P174" s="61">
        <f t="shared" si="19"/>
        <v>77.42637446091746</v>
      </c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</row>
    <row r="175" spans="1:30" s="11" customFormat="1" ht="20.25" customHeight="1">
      <c r="A175" s="197"/>
      <c r="B175" s="60" t="s">
        <v>44</v>
      </c>
      <c r="C175" s="60" t="s">
        <v>9</v>
      </c>
      <c r="D175" s="60">
        <v>21</v>
      </c>
      <c r="E175" s="60" t="s">
        <v>29</v>
      </c>
      <c r="F175" s="60" t="s">
        <v>14</v>
      </c>
      <c r="G175" s="60" t="s">
        <v>20</v>
      </c>
      <c r="H175" s="60" t="s">
        <v>274</v>
      </c>
      <c r="I175" s="60" t="s">
        <v>32</v>
      </c>
      <c r="J175" s="79"/>
      <c r="K175" s="79"/>
      <c r="L175" s="79"/>
      <c r="M175" s="83">
        <f>M209+M183</f>
        <v>20148114</v>
      </c>
      <c r="N175" s="83">
        <f>N209+N183</f>
        <v>2793078.36</v>
      </c>
      <c r="O175" s="83">
        <f>O209+O183</f>
        <v>2595194.36</v>
      </c>
      <c r="P175" s="61">
        <f t="shared" si="19"/>
        <v>12.88058207333947</v>
      </c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</row>
    <row r="176" spans="1:30" ht="12.75">
      <c r="A176" s="82" t="s">
        <v>90</v>
      </c>
      <c r="B176" s="60"/>
      <c r="C176" s="60"/>
      <c r="D176" s="60"/>
      <c r="E176" s="60"/>
      <c r="F176" s="60"/>
      <c r="G176" s="60"/>
      <c r="H176" s="60"/>
      <c r="I176" s="60"/>
      <c r="J176" s="79"/>
      <c r="K176" s="79"/>
      <c r="L176" s="79"/>
      <c r="M176" s="105">
        <f>M177</f>
        <v>13255356</v>
      </c>
      <c r="N176" s="105">
        <f>N177</f>
        <v>35710</v>
      </c>
      <c r="O176" s="105">
        <f>O177</f>
        <v>35710</v>
      </c>
      <c r="P176" s="61">
        <f t="shared" si="19"/>
        <v>0.2694005351497161</v>
      </c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</row>
    <row r="177" spans="1:30" ht="37.5" customHeight="1">
      <c r="A177" s="62" t="s">
        <v>332</v>
      </c>
      <c r="B177" s="62" t="s">
        <v>44</v>
      </c>
      <c r="C177" s="62" t="s">
        <v>9</v>
      </c>
      <c r="D177" s="62">
        <v>21</v>
      </c>
      <c r="E177" s="62" t="s">
        <v>29</v>
      </c>
      <c r="F177" s="62" t="s">
        <v>14</v>
      </c>
      <c r="G177" s="62" t="s">
        <v>20</v>
      </c>
      <c r="H177" s="62">
        <v>16140</v>
      </c>
      <c r="I177" s="62" t="s">
        <v>32</v>
      </c>
      <c r="J177" s="68" t="s">
        <v>63</v>
      </c>
      <c r="K177" s="68">
        <v>5.19</v>
      </c>
      <c r="L177" s="68">
        <v>2016</v>
      </c>
      <c r="M177" s="52">
        <f>13033544+1000000-778188</f>
        <v>13255356</v>
      </c>
      <c r="N177" s="40">
        <v>35710</v>
      </c>
      <c r="O177" s="40">
        <v>35710</v>
      </c>
      <c r="P177" s="66">
        <f t="shared" si="19"/>
        <v>0.2694005351497161</v>
      </c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</row>
    <row r="178" spans="1:30" s="11" customFormat="1" ht="12.75">
      <c r="A178" s="60" t="s">
        <v>61</v>
      </c>
      <c r="B178" s="62"/>
      <c r="C178" s="62"/>
      <c r="D178" s="62"/>
      <c r="E178" s="62"/>
      <c r="F178" s="62"/>
      <c r="G178" s="62"/>
      <c r="H178" s="62"/>
      <c r="I178" s="62"/>
      <c r="J178" s="68"/>
      <c r="K178" s="68"/>
      <c r="L178" s="68"/>
      <c r="M178" s="106">
        <f>M179+M181</f>
        <v>35447871.89</v>
      </c>
      <c r="N178" s="106">
        <f>N179+N181</f>
        <v>33549515.759999998</v>
      </c>
      <c r="O178" s="106">
        <f>O179+O181</f>
        <v>33726086.76</v>
      </c>
      <c r="P178" s="61">
        <f t="shared" si="19"/>
        <v>95.14276869612101</v>
      </c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</row>
    <row r="179" spans="1:30" s="11" customFormat="1" ht="26.25" customHeight="1">
      <c r="A179" s="81" t="s">
        <v>169</v>
      </c>
      <c r="B179" s="62" t="s">
        <v>44</v>
      </c>
      <c r="C179" s="62" t="s">
        <v>9</v>
      </c>
      <c r="D179" s="62">
        <v>21</v>
      </c>
      <c r="E179" s="62" t="s">
        <v>29</v>
      </c>
      <c r="F179" s="62" t="s">
        <v>14</v>
      </c>
      <c r="G179" s="62" t="s">
        <v>20</v>
      </c>
      <c r="H179" s="62">
        <v>16140</v>
      </c>
      <c r="I179" s="62" t="s">
        <v>32</v>
      </c>
      <c r="J179" s="68" t="s">
        <v>63</v>
      </c>
      <c r="K179" s="68">
        <v>4.131</v>
      </c>
      <c r="L179" s="68">
        <v>2016</v>
      </c>
      <c r="M179" s="52">
        <f>35221300.89-123429</f>
        <v>35097871.89</v>
      </c>
      <c r="N179" s="40">
        <f>33726086.76-176571</f>
        <v>33549515.759999998</v>
      </c>
      <c r="O179" s="40">
        <v>33726086.76</v>
      </c>
      <c r="P179" s="66">
        <f t="shared" si="19"/>
        <v>96.09154328701379</v>
      </c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</row>
    <row r="180" spans="1:16" s="14" customFormat="1" ht="25.5" customHeight="1">
      <c r="A180" s="90" t="s">
        <v>200</v>
      </c>
      <c r="B180" s="62"/>
      <c r="C180" s="62"/>
      <c r="D180" s="62"/>
      <c r="E180" s="62"/>
      <c r="F180" s="62"/>
      <c r="G180" s="62"/>
      <c r="H180" s="62"/>
      <c r="I180" s="62"/>
      <c r="J180" s="70"/>
      <c r="K180" s="70"/>
      <c r="L180" s="68"/>
      <c r="M180" s="53">
        <v>176571</v>
      </c>
      <c r="N180" s="47">
        <v>0</v>
      </c>
      <c r="O180" s="44">
        <v>176571</v>
      </c>
      <c r="P180" s="69">
        <f t="shared" si="19"/>
        <v>100</v>
      </c>
    </row>
    <row r="181" spans="1:16" s="14" customFormat="1" ht="24" customHeight="1">
      <c r="A181" s="81" t="s">
        <v>381</v>
      </c>
      <c r="B181" s="62" t="s">
        <v>44</v>
      </c>
      <c r="C181" s="62" t="s">
        <v>9</v>
      </c>
      <c r="D181" s="62">
        <v>21</v>
      </c>
      <c r="E181" s="62" t="s">
        <v>29</v>
      </c>
      <c r="F181" s="62" t="s">
        <v>14</v>
      </c>
      <c r="G181" s="62" t="s">
        <v>20</v>
      </c>
      <c r="H181" s="62">
        <v>16140</v>
      </c>
      <c r="I181" s="62" t="s">
        <v>32</v>
      </c>
      <c r="J181" s="68" t="s">
        <v>63</v>
      </c>
      <c r="K181" s="107"/>
      <c r="L181" s="107"/>
      <c r="M181" s="87">
        <v>350000</v>
      </c>
      <c r="N181" s="64"/>
      <c r="O181" s="64"/>
      <c r="P181" s="66">
        <f t="shared" si="19"/>
        <v>0</v>
      </c>
    </row>
    <row r="182" spans="1:30" s="11" customFormat="1" ht="19.5" customHeight="1">
      <c r="A182" s="60" t="s">
        <v>77</v>
      </c>
      <c r="B182" s="62"/>
      <c r="C182" s="62"/>
      <c r="D182" s="62"/>
      <c r="E182" s="62"/>
      <c r="F182" s="62"/>
      <c r="G182" s="62"/>
      <c r="H182" s="62"/>
      <c r="I182" s="62"/>
      <c r="J182" s="68"/>
      <c r="K182" s="68"/>
      <c r="L182" s="68"/>
      <c r="M182" s="106">
        <f>M183+M184</f>
        <v>17352778</v>
      </c>
      <c r="N182" s="106">
        <f>N183+N184</f>
        <v>327164</v>
      </c>
      <c r="O182" s="106">
        <f>O183+O184</f>
        <v>327164</v>
      </c>
      <c r="P182" s="61">
        <f t="shared" si="19"/>
        <v>1.8853695932720398</v>
      </c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</row>
    <row r="183" spans="1:30" s="11" customFormat="1" ht="39" customHeight="1">
      <c r="A183" s="62" t="s">
        <v>238</v>
      </c>
      <c r="B183" s="62">
        <v>19</v>
      </c>
      <c r="C183" s="62">
        <v>3</v>
      </c>
      <c r="D183" s="62">
        <v>21</v>
      </c>
      <c r="E183" s="62">
        <v>819</v>
      </c>
      <c r="F183" s="62" t="s">
        <v>14</v>
      </c>
      <c r="G183" s="62" t="s">
        <v>20</v>
      </c>
      <c r="H183" s="62" t="s">
        <v>274</v>
      </c>
      <c r="I183" s="62" t="s">
        <v>32</v>
      </c>
      <c r="J183" s="68" t="s">
        <v>63</v>
      </c>
      <c r="K183" s="68">
        <v>0.425</v>
      </c>
      <c r="L183" s="68">
        <v>2017</v>
      </c>
      <c r="M183" s="52">
        <v>16777778</v>
      </c>
      <c r="N183" s="40">
        <v>317764</v>
      </c>
      <c r="O183" s="40">
        <v>317764</v>
      </c>
      <c r="P183" s="66">
        <f t="shared" si="19"/>
        <v>1.8939575908085087</v>
      </c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</row>
    <row r="184" spans="1:30" s="11" customFormat="1" ht="23.25" customHeight="1">
      <c r="A184" s="62" t="s">
        <v>203</v>
      </c>
      <c r="B184" s="62">
        <v>19</v>
      </c>
      <c r="C184" s="62">
        <v>3</v>
      </c>
      <c r="D184" s="62">
        <v>21</v>
      </c>
      <c r="E184" s="62">
        <v>819</v>
      </c>
      <c r="F184" s="62" t="s">
        <v>14</v>
      </c>
      <c r="G184" s="62" t="s">
        <v>20</v>
      </c>
      <c r="H184" s="62">
        <v>16140</v>
      </c>
      <c r="I184" s="62" t="s">
        <v>32</v>
      </c>
      <c r="J184" s="68"/>
      <c r="K184" s="68"/>
      <c r="L184" s="68"/>
      <c r="M184" s="52">
        <v>575000</v>
      </c>
      <c r="N184" s="40">
        <v>9400</v>
      </c>
      <c r="O184" s="40">
        <v>9400</v>
      </c>
      <c r="P184" s="66">
        <f t="shared" si="19"/>
        <v>1.634782608695652</v>
      </c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</row>
    <row r="185" spans="1:30" s="11" customFormat="1" ht="12.75">
      <c r="A185" s="60" t="s">
        <v>163</v>
      </c>
      <c r="B185" s="62"/>
      <c r="C185" s="62"/>
      <c r="D185" s="62"/>
      <c r="E185" s="62"/>
      <c r="F185" s="62"/>
      <c r="G185" s="62"/>
      <c r="H185" s="62"/>
      <c r="I185" s="62"/>
      <c r="J185" s="68"/>
      <c r="K185" s="68"/>
      <c r="L185" s="68"/>
      <c r="M185" s="106">
        <f>M187+M186</f>
        <v>4127216.08</v>
      </c>
      <c r="N185" s="106">
        <f>N187+N186</f>
        <v>11200</v>
      </c>
      <c r="O185" s="106">
        <f>O187+O186</f>
        <v>793883.08</v>
      </c>
      <c r="P185" s="61">
        <f t="shared" si="19"/>
        <v>19.235316605957784</v>
      </c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</row>
    <row r="186" spans="1:16" s="14" customFormat="1" ht="36.75" customHeight="1">
      <c r="A186" s="62" t="s">
        <v>219</v>
      </c>
      <c r="B186" s="62" t="s">
        <v>44</v>
      </c>
      <c r="C186" s="62" t="s">
        <v>9</v>
      </c>
      <c r="D186" s="62">
        <v>21</v>
      </c>
      <c r="E186" s="62" t="s">
        <v>29</v>
      </c>
      <c r="F186" s="62" t="s">
        <v>14</v>
      </c>
      <c r="G186" s="62" t="s">
        <v>20</v>
      </c>
      <c r="H186" s="62">
        <v>16140</v>
      </c>
      <c r="I186" s="62" t="s">
        <v>32</v>
      </c>
      <c r="J186" s="68" t="s">
        <v>63</v>
      </c>
      <c r="K186" s="108"/>
      <c r="L186" s="68"/>
      <c r="M186" s="52">
        <v>1855000</v>
      </c>
      <c r="N186" s="49">
        <v>11200</v>
      </c>
      <c r="O186" s="49">
        <v>11200</v>
      </c>
      <c r="P186" s="66">
        <f t="shared" si="19"/>
        <v>0.6037735849056604</v>
      </c>
    </row>
    <row r="187" spans="1:16" s="14" customFormat="1" ht="37.5" customHeight="1">
      <c r="A187" s="62" t="s">
        <v>237</v>
      </c>
      <c r="B187" s="62" t="s">
        <v>44</v>
      </c>
      <c r="C187" s="62" t="s">
        <v>9</v>
      </c>
      <c r="D187" s="62">
        <v>21</v>
      </c>
      <c r="E187" s="62" t="s">
        <v>29</v>
      </c>
      <c r="F187" s="62" t="s">
        <v>14</v>
      </c>
      <c r="G187" s="62" t="s">
        <v>20</v>
      </c>
      <c r="H187" s="62">
        <v>16140</v>
      </c>
      <c r="I187" s="62" t="s">
        <v>32</v>
      </c>
      <c r="J187" s="68" t="s">
        <v>63</v>
      </c>
      <c r="K187" s="108"/>
      <c r="L187" s="68"/>
      <c r="M187" s="52">
        <v>2272216.08</v>
      </c>
      <c r="N187" s="46">
        <v>0</v>
      </c>
      <c r="O187" s="40">
        <v>782683.08</v>
      </c>
      <c r="P187" s="66">
        <f t="shared" si="19"/>
        <v>34.44580323540356</v>
      </c>
    </row>
    <row r="188" spans="1:16" s="14" customFormat="1" ht="24" customHeight="1">
      <c r="A188" s="71" t="s">
        <v>200</v>
      </c>
      <c r="B188" s="62"/>
      <c r="C188" s="62"/>
      <c r="D188" s="62"/>
      <c r="E188" s="62"/>
      <c r="F188" s="62"/>
      <c r="G188" s="62"/>
      <c r="H188" s="62"/>
      <c r="I188" s="62"/>
      <c r="J188" s="68"/>
      <c r="K188" s="108"/>
      <c r="L188" s="68"/>
      <c r="M188" s="53">
        <v>782683.08</v>
      </c>
      <c r="N188" s="47">
        <v>0</v>
      </c>
      <c r="O188" s="44">
        <v>782683.08</v>
      </c>
      <c r="P188" s="69">
        <f t="shared" si="19"/>
        <v>100</v>
      </c>
    </row>
    <row r="189" spans="1:16" s="14" customFormat="1" ht="12.75">
      <c r="A189" s="60" t="s">
        <v>119</v>
      </c>
      <c r="B189" s="62"/>
      <c r="C189" s="62"/>
      <c r="D189" s="62"/>
      <c r="E189" s="62"/>
      <c r="F189" s="62"/>
      <c r="G189" s="62"/>
      <c r="H189" s="62"/>
      <c r="I189" s="62"/>
      <c r="J189" s="68"/>
      <c r="K189" s="108"/>
      <c r="L189" s="68"/>
      <c r="M189" s="106">
        <f>M190+M192</f>
        <v>793848</v>
      </c>
      <c r="N189" s="106">
        <f>N190+N192</f>
        <v>18750</v>
      </c>
      <c r="O189" s="106">
        <f>O190+O192</f>
        <v>782529</v>
      </c>
      <c r="P189" s="61">
        <f t="shared" si="19"/>
        <v>98.57416029265048</v>
      </c>
    </row>
    <row r="190" spans="1:16" s="14" customFormat="1" ht="24.75" customHeight="1">
      <c r="A190" s="62" t="s">
        <v>336</v>
      </c>
      <c r="B190" s="62" t="s">
        <v>44</v>
      </c>
      <c r="C190" s="62" t="s">
        <v>9</v>
      </c>
      <c r="D190" s="62">
        <v>21</v>
      </c>
      <c r="E190" s="62" t="s">
        <v>29</v>
      </c>
      <c r="F190" s="62" t="s">
        <v>14</v>
      </c>
      <c r="G190" s="62" t="s">
        <v>20</v>
      </c>
      <c r="H190" s="62">
        <v>16140</v>
      </c>
      <c r="I190" s="62" t="s">
        <v>32</v>
      </c>
      <c r="J190" s="68" t="s">
        <v>63</v>
      </c>
      <c r="K190" s="108"/>
      <c r="L190" s="68"/>
      <c r="M190" s="52">
        <f>295742-2616</f>
        <v>293126</v>
      </c>
      <c r="N190" s="40">
        <f>281807-263057</f>
        <v>18750</v>
      </c>
      <c r="O190" s="40">
        <v>281807</v>
      </c>
      <c r="P190" s="66">
        <f t="shared" si="19"/>
        <v>96.13852063617693</v>
      </c>
    </row>
    <row r="191" spans="1:16" s="14" customFormat="1" ht="22.5" customHeight="1">
      <c r="A191" s="71" t="s">
        <v>200</v>
      </c>
      <c r="B191" s="62"/>
      <c r="C191" s="62"/>
      <c r="D191" s="62"/>
      <c r="E191" s="62"/>
      <c r="F191" s="62"/>
      <c r="G191" s="62"/>
      <c r="H191" s="62"/>
      <c r="I191" s="62"/>
      <c r="J191" s="68"/>
      <c r="K191" s="108"/>
      <c r="L191" s="68"/>
      <c r="M191" s="53">
        <f>266917-3860</f>
        <v>263057</v>
      </c>
      <c r="N191" s="47">
        <v>0</v>
      </c>
      <c r="O191" s="44">
        <v>263057</v>
      </c>
      <c r="P191" s="69">
        <f t="shared" si="19"/>
        <v>100</v>
      </c>
    </row>
    <row r="192" spans="1:16" s="14" customFormat="1" ht="26.25" customHeight="1">
      <c r="A192" s="62" t="s">
        <v>337</v>
      </c>
      <c r="B192" s="62">
        <v>19</v>
      </c>
      <c r="C192" s="62">
        <v>3</v>
      </c>
      <c r="D192" s="62">
        <v>21</v>
      </c>
      <c r="E192" s="62">
        <v>819</v>
      </c>
      <c r="F192" s="62" t="s">
        <v>14</v>
      </c>
      <c r="G192" s="62" t="s">
        <v>20</v>
      </c>
      <c r="H192" s="62">
        <v>16140</v>
      </c>
      <c r="I192" s="62" t="s">
        <v>32</v>
      </c>
      <c r="J192" s="68" t="s">
        <v>63</v>
      </c>
      <c r="K192" s="68"/>
      <c r="L192" s="68">
        <v>2017</v>
      </c>
      <c r="M192" s="52">
        <f>1158331-657609</f>
        <v>500722</v>
      </c>
      <c r="N192" s="46">
        <v>0</v>
      </c>
      <c r="O192" s="40">
        <v>500722</v>
      </c>
      <c r="P192" s="66">
        <f t="shared" si="19"/>
        <v>100</v>
      </c>
    </row>
    <row r="193" spans="1:16" s="14" customFormat="1" ht="23.25" customHeight="1">
      <c r="A193" s="71" t="s">
        <v>200</v>
      </c>
      <c r="B193" s="62"/>
      <c r="C193" s="62"/>
      <c r="D193" s="62"/>
      <c r="E193" s="62"/>
      <c r="F193" s="62"/>
      <c r="G193" s="62"/>
      <c r="H193" s="62"/>
      <c r="I193" s="62"/>
      <c r="J193" s="68"/>
      <c r="K193" s="108"/>
      <c r="L193" s="68"/>
      <c r="M193" s="53">
        <v>500722</v>
      </c>
      <c r="N193" s="47">
        <v>0</v>
      </c>
      <c r="O193" s="44">
        <v>500722</v>
      </c>
      <c r="P193" s="69">
        <f t="shared" si="19"/>
        <v>100</v>
      </c>
    </row>
    <row r="194" spans="1:16" s="14" customFormat="1" ht="13.5" customHeight="1">
      <c r="A194" s="60" t="s">
        <v>101</v>
      </c>
      <c r="B194" s="62"/>
      <c r="C194" s="62"/>
      <c r="D194" s="62"/>
      <c r="E194" s="62"/>
      <c r="F194" s="62"/>
      <c r="G194" s="62"/>
      <c r="H194" s="62"/>
      <c r="I194" s="62"/>
      <c r="J194" s="68"/>
      <c r="K194" s="68"/>
      <c r="L194" s="68"/>
      <c r="M194" s="106">
        <f>M195+M197+M199+M201</f>
        <v>37162515.28</v>
      </c>
      <c r="N194" s="106">
        <f>N195+N197+N199+N201</f>
        <v>34889554.45</v>
      </c>
      <c r="O194" s="106">
        <f>O195+O197+O199+O201</f>
        <v>36793979.86</v>
      </c>
      <c r="P194" s="61">
        <f t="shared" si="19"/>
        <v>99.00831411107865</v>
      </c>
    </row>
    <row r="195" spans="1:16" s="14" customFormat="1" ht="50.25" customHeight="1">
      <c r="A195" s="62" t="s">
        <v>338</v>
      </c>
      <c r="B195" s="62">
        <v>19</v>
      </c>
      <c r="C195" s="62" t="s">
        <v>9</v>
      </c>
      <c r="D195" s="62">
        <v>21</v>
      </c>
      <c r="E195" s="62" t="s">
        <v>29</v>
      </c>
      <c r="F195" s="62" t="s">
        <v>14</v>
      </c>
      <c r="G195" s="62" t="s">
        <v>20</v>
      </c>
      <c r="H195" s="62">
        <v>16140</v>
      </c>
      <c r="I195" s="62" t="s">
        <v>32</v>
      </c>
      <c r="J195" s="68" t="s">
        <v>63</v>
      </c>
      <c r="K195" s="108">
        <v>5.15</v>
      </c>
      <c r="L195" s="68">
        <v>2016</v>
      </c>
      <c r="M195" s="52">
        <v>35791756.28</v>
      </c>
      <c r="N195" s="40">
        <f>35791755.86-902201.41</f>
        <v>34889554.45</v>
      </c>
      <c r="O195" s="40">
        <v>35791755.86</v>
      </c>
      <c r="P195" s="66">
        <f t="shared" si="19"/>
        <v>99.99999882654542</v>
      </c>
    </row>
    <row r="196" spans="1:16" s="14" customFormat="1" ht="25.5" customHeight="1">
      <c r="A196" s="90" t="s">
        <v>200</v>
      </c>
      <c r="B196" s="62"/>
      <c r="C196" s="62"/>
      <c r="D196" s="62"/>
      <c r="E196" s="62"/>
      <c r="F196" s="62"/>
      <c r="G196" s="62"/>
      <c r="H196" s="62"/>
      <c r="I196" s="62"/>
      <c r="J196" s="68"/>
      <c r="K196" s="108"/>
      <c r="L196" s="68"/>
      <c r="M196" s="53">
        <v>902201.41</v>
      </c>
      <c r="N196" s="47">
        <v>0</v>
      </c>
      <c r="O196" s="44">
        <v>902201.41</v>
      </c>
      <c r="P196" s="69">
        <f t="shared" si="19"/>
        <v>100</v>
      </c>
    </row>
    <row r="197" spans="1:16" s="14" customFormat="1" ht="47.25" customHeight="1">
      <c r="A197" s="62" t="s">
        <v>339</v>
      </c>
      <c r="B197" s="62" t="s">
        <v>44</v>
      </c>
      <c r="C197" s="62" t="s">
        <v>9</v>
      </c>
      <c r="D197" s="62">
        <v>21</v>
      </c>
      <c r="E197" s="62" t="s">
        <v>29</v>
      </c>
      <c r="F197" s="62" t="s">
        <v>14</v>
      </c>
      <c r="G197" s="62" t="s">
        <v>20</v>
      </c>
      <c r="H197" s="62">
        <v>16140</v>
      </c>
      <c r="I197" s="62" t="s">
        <v>32</v>
      </c>
      <c r="J197" s="68" t="s">
        <v>63</v>
      </c>
      <c r="K197" s="108"/>
      <c r="L197" s="68"/>
      <c r="M197" s="52">
        <v>391665</v>
      </c>
      <c r="N197" s="46">
        <v>0</v>
      </c>
      <c r="O197" s="40">
        <v>200630</v>
      </c>
      <c r="P197" s="66">
        <f t="shared" si="19"/>
        <v>51.224898829356725</v>
      </c>
    </row>
    <row r="198" spans="1:16" s="14" customFormat="1" ht="25.5" customHeight="1">
      <c r="A198" s="90" t="s">
        <v>200</v>
      </c>
      <c r="B198" s="62"/>
      <c r="C198" s="62"/>
      <c r="D198" s="62"/>
      <c r="E198" s="62"/>
      <c r="F198" s="62"/>
      <c r="G198" s="62"/>
      <c r="H198" s="62"/>
      <c r="I198" s="62"/>
      <c r="J198" s="68"/>
      <c r="K198" s="108"/>
      <c r="L198" s="68"/>
      <c r="M198" s="53">
        <v>200630</v>
      </c>
      <c r="N198" s="47">
        <v>0</v>
      </c>
      <c r="O198" s="44">
        <v>200630</v>
      </c>
      <c r="P198" s="69">
        <f t="shared" si="19"/>
        <v>100</v>
      </c>
    </row>
    <row r="199" spans="1:16" s="14" customFormat="1" ht="48.75" customHeight="1">
      <c r="A199" s="62" t="s">
        <v>340</v>
      </c>
      <c r="B199" s="62" t="s">
        <v>44</v>
      </c>
      <c r="C199" s="62" t="s">
        <v>9</v>
      </c>
      <c r="D199" s="62">
        <v>21</v>
      </c>
      <c r="E199" s="62" t="s">
        <v>29</v>
      </c>
      <c r="F199" s="62" t="s">
        <v>14</v>
      </c>
      <c r="G199" s="62" t="s">
        <v>20</v>
      </c>
      <c r="H199" s="62">
        <v>16140</v>
      </c>
      <c r="I199" s="62" t="s">
        <v>32</v>
      </c>
      <c r="J199" s="68" t="s">
        <v>63</v>
      </c>
      <c r="K199" s="108"/>
      <c r="L199" s="68"/>
      <c r="M199" s="52">
        <v>734000</v>
      </c>
      <c r="N199" s="46">
        <v>0</v>
      </c>
      <c r="O199" s="40">
        <v>559000</v>
      </c>
      <c r="P199" s="66">
        <f t="shared" si="19"/>
        <v>76.15803814713897</v>
      </c>
    </row>
    <row r="200" spans="1:16" s="14" customFormat="1" ht="26.25" customHeight="1">
      <c r="A200" s="90" t="s">
        <v>200</v>
      </c>
      <c r="B200" s="62"/>
      <c r="C200" s="62"/>
      <c r="D200" s="62"/>
      <c r="E200" s="62"/>
      <c r="F200" s="62"/>
      <c r="G200" s="62"/>
      <c r="H200" s="62"/>
      <c r="I200" s="62"/>
      <c r="J200" s="68"/>
      <c r="K200" s="108"/>
      <c r="L200" s="68"/>
      <c r="M200" s="53">
        <v>559000</v>
      </c>
      <c r="N200" s="47">
        <v>0</v>
      </c>
      <c r="O200" s="44">
        <v>559000</v>
      </c>
      <c r="P200" s="69">
        <f t="shared" si="19"/>
        <v>100</v>
      </c>
    </row>
    <row r="201" spans="1:16" s="14" customFormat="1" ht="25.5" customHeight="1">
      <c r="A201" s="62" t="s">
        <v>204</v>
      </c>
      <c r="B201" s="62" t="s">
        <v>44</v>
      </c>
      <c r="C201" s="62" t="s">
        <v>9</v>
      </c>
      <c r="D201" s="62">
        <v>21</v>
      </c>
      <c r="E201" s="62" t="s">
        <v>29</v>
      </c>
      <c r="F201" s="62" t="s">
        <v>14</v>
      </c>
      <c r="G201" s="62" t="s">
        <v>20</v>
      </c>
      <c r="H201" s="62">
        <v>16140</v>
      </c>
      <c r="I201" s="62" t="s">
        <v>32</v>
      </c>
      <c r="J201" s="68" t="s">
        <v>63</v>
      </c>
      <c r="K201" s="108"/>
      <c r="L201" s="68"/>
      <c r="M201" s="52">
        <f>242636+2458</f>
        <v>245094</v>
      </c>
      <c r="N201" s="46">
        <v>0</v>
      </c>
      <c r="O201" s="40">
        <v>242594</v>
      </c>
      <c r="P201" s="66">
        <f aca="true" t="shared" si="24" ref="P201:P256">O201/M201*100</f>
        <v>98.97998319012298</v>
      </c>
    </row>
    <row r="202" spans="1:16" s="14" customFormat="1" ht="25.5" customHeight="1">
      <c r="A202" s="90" t="s">
        <v>200</v>
      </c>
      <c r="B202" s="62"/>
      <c r="C202" s="62"/>
      <c r="D202" s="62"/>
      <c r="E202" s="62"/>
      <c r="F202" s="62"/>
      <c r="G202" s="62"/>
      <c r="H202" s="62"/>
      <c r="I202" s="62"/>
      <c r="J202" s="68"/>
      <c r="K202" s="108"/>
      <c r="L202" s="68"/>
      <c r="M202" s="52">
        <f>242636-42</f>
        <v>242594</v>
      </c>
      <c r="N202" s="46">
        <v>0</v>
      </c>
      <c r="O202" s="40">
        <v>242594</v>
      </c>
      <c r="P202" s="66">
        <f t="shared" si="24"/>
        <v>100</v>
      </c>
    </row>
    <row r="203" spans="1:16" s="14" customFormat="1" ht="12.75">
      <c r="A203" s="60" t="s">
        <v>92</v>
      </c>
      <c r="B203" s="60"/>
      <c r="C203" s="60"/>
      <c r="D203" s="60"/>
      <c r="E203" s="60"/>
      <c r="F203" s="60"/>
      <c r="G203" s="60"/>
      <c r="H203" s="60"/>
      <c r="I203" s="60"/>
      <c r="J203" s="68"/>
      <c r="K203" s="108"/>
      <c r="L203" s="68"/>
      <c r="M203" s="106">
        <f>M204+M206</f>
        <v>1929176.42</v>
      </c>
      <c r="N203" s="106">
        <f>N204+N206</f>
        <v>462910</v>
      </c>
      <c r="O203" s="106">
        <f>O204+O206</f>
        <v>1189074.42</v>
      </c>
      <c r="P203" s="61">
        <f t="shared" si="24"/>
        <v>61.63637538136611</v>
      </c>
    </row>
    <row r="204" spans="1:16" s="14" customFormat="1" ht="36">
      <c r="A204" s="62" t="s">
        <v>239</v>
      </c>
      <c r="B204" s="62" t="s">
        <v>44</v>
      </c>
      <c r="C204" s="62" t="s">
        <v>9</v>
      </c>
      <c r="D204" s="62">
        <v>21</v>
      </c>
      <c r="E204" s="62" t="s">
        <v>29</v>
      </c>
      <c r="F204" s="62" t="s">
        <v>14</v>
      </c>
      <c r="G204" s="62" t="s">
        <v>20</v>
      </c>
      <c r="H204" s="62">
        <v>16140</v>
      </c>
      <c r="I204" s="62" t="s">
        <v>32</v>
      </c>
      <c r="J204" s="68" t="s">
        <v>63</v>
      </c>
      <c r="K204" s="108"/>
      <c r="L204" s="68"/>
      <c r="M204" s="52">
        <f>3593911-3423391</f>
        <v>170520</v>
      </c>
      <c r="N204" s="46">
        <v>0</v>
      </c>
      <c r="O204" s="40">
        <v>170520</v>
      </c>
      <c r="P204" s="66">
        <f t="shared" si="24"/>
        <v>100</v>
      </c>
    </row>
    <row r="205" spans="1:16" s="14" customFormat="1" ht="24.75" customHeight="1">
      <c r="A205" s="90" t="s">
        <v>200</v>
      </c>
      <c r="B205" s="62"/>
      <c r="C205" s="62"/>
      <c r="D205" s="62"/>
      <c r="E205" s="62"/>
      <c r="F205" s="62"/>
      <c r="G205" s="62"/>
      <c r="H205" s="62"/>
      <c r="I205" s="62"/>
      <c r="J205" s="68"/>
      <c r="K205" s="108"/>
      <c r="L205" s="68"/>
      <c r="M205" s="53">
        <v>170520</v>
      </c>
      <c r="N205" s="47">
        <v>0</v>
      </c>
      <c r="O205" s="44">
        <v>170520</v>
      </c>
      <c r="P205" s="69">
        <f t="shared" si="24"/>
        <v>100</v>
      </c>
    </row>
    <row r="206" spans="1:16" s="14" customFormat="1" ht="36.75" customHeight="1">
      <c r="A206" s="62" t="s">
        <v>205</v>
      </c>
      <c r="B206" s="62" t="s">
        <v>44</v>
      </c>
      <c r="C206" s="62" t="s">
        <v>9</v>
      </c>
      <c r="D206" s="62">
        <v>21</v>
      </c>
      <c r="E206" s="62" t="s">
        <v>29</v>
      </c>
      <c r="F206" s="62" t="s">
        <v>14</v>
      </c>
      <c r="G206" s="62" t="s">
        <v>20</v>
      </c>
      <c r="H206" s="62">
        <v>16140</v>
      </c>
      <c r="I206" s="62" t="s">
        <v>32</v>
      </c>
      <c r="J206" s="68" t="s">
        <v>63</v>
      </c>
      <c r="K206" s="108"/>
      <c r="L206" s="68"/>
      <c r="M206" s="52">
        <v>1758656.42</v>
      </c>
      <c r="N206" s="40">
        <f>1018554.42-555644.42</f>
        <v>462910</v>
      </c>
      <c r="O206" s="40">
        <f>998554.42+20000</f>
        <v>1018554.42</v>
      </c>
      <c r="P206" s="66">
        <f t="shared" si="24"/>
        <v>57.9166236461355</v>
      </c>
    </row>
    <row r="207" spans="1:16" s="14" customFormat="1" ht="24.75" customHeight="1">
      <c r="A207" s="90" t="s">
        <v>200</v>
      </c>
      <c r="B207" s="62"/>
      <c r="C207" s="62"/>
      <c r="D207" s="62"/>
      <c r="E207" s="62"/>
      <c r="F207" s="62"/>
      <c r="G207" s="62"/>
      <c r="H207" s="62"/>
      <c r="I207" s="62"/>
      <c r="J207" s="68"/>
      <c r="K207" s="108"/>
      <c r="L207" s="68"/>
      <c r="M207" s="53">
        <v>555644.42</v>
      </c>
      <c r="N207" s="47">
        <v>0</v>
      </c>
      <c r="O207" s="44">
        <v>555644.42</v>
      </c>
      <c r="P207" s="69">
        <f t="shared" si="24"/>
        <v>100</v>
      </c>
    </row>
    <row r="208" spans="1:16" s="14" customFormat="1" ht="12.75">
      <c r="A208" s="60" t="s">
        <v>62</v>
      </c>
      <c r="B208" s="60"/>
      <c r="C208" s="60"/>
      <c r="D208" s="60"/>
      <c r="E208" s="60"/>
      <c r="F208" s="60"/>
      <c r="G208" s="60"/>
      <c r="H208" s="60"/>
      <c r="I208" s="60"/>
      <c r="J208" s="68"/>
      <c r="K208" s="108"/>
      <c r="L208" s="68"/>
      <c r="M208" s="106">
        <f>M209+M210</f>
        <v>4219882.99</v>
      </c>
      <c r="N208" s="106">
        <f>N209+N210</f>
        <v>2979336.36</v>
      </c>
      <c r="O208" s="106">
        <f>O209+O210</f>
        <v>3126977.3499999996</v>
      </c>
      <c r="P208" s="61">
        <f t="shared" si="24"/>
        <v>74.10104397231164</v>
      </c>
    </row>
    <row r="209" spans="1:16" s="14" customFormat="1" ht="47.25" customHeight="1">
      <c r="A209" s="62" t="s">
        <v>272</v>
      </c>
      <c r="B209" s="62" t="s">
        <v>44</v>
      </c>
      <c r="C209" s="62" t="s">
        <v>9</v>
      </c>
      <c r="D209" s="62">
        <v>21</v>
      </c>
      <c r="E209" s="62" t="s">
        <v>29</v>
      </c>
      <c r="F209" s="62" t="s">
        <v>14</v>
      </c>
      <c r="G209" s="62" t="s">
        <v>20</v>
      </c>
      <c r="H209" s="62" t="s">
        <v>274</v>
      </c>
      <c r="I209" s="62" t="s">
        <v>32</v>
      </c>
      <c r="J209" s="68" t="s">
        <v>63</v>
      </c>
      <c r="K209" s="108">
        <v>4</v>
      </c>
      <c r="L209" s="68">
        <v>2017</v>
      </c>
      <c r="M209" s="52">
        <v>3370336</v>
      </c>
      <c r="N209" s="40">
        <v>2475314.36</v>
      </c>
      <c r="O209" s="40">
        <v>2277430.36</v>
      </c>
      <c r="P209" s="66">
        <f t="shared" si="24"/>
        <v>67.57279867645242</v>
      </c>
    </row>
    <row r="210" spans="1:16" s="14" customFormat="1" ht="35.25" customHeight="1">
      <c r="A210" s="62" t="s">
        <v>273</v>
      </c>
      <c r="B210" s="62" t="s">
        <v>44</v>
      </c>
      <c r="C210" s="62" t="s">
        <v>9</v>
      </c>
      <c r="D210" s="62">
        <v>21</v>
      </c>
      <c r="E210" s="62" t="s">
        <v>29</v>
      </c>
      <c r="F210" s="62" t="s">
        <v>14</v>
      </c>
      <c r="G210" s="62" t="s">
        <v>20</v>
      </c>
      <c r="H210" s="62">
        <v>16140</v>
      </c>
      <c r="I210" s="62" t="s">
        <v>32</v>
      </c>
      <c r="J210" s="68"/>
      <c r="K210" s="108"/>
      <c r="L210" s="68"/>
      <c r="M210" s="52">
        <v>849546.99</v>
      </c>
      <c r="N210" s="40">
        <f>849546.99-345524.99</f>
        <v>504022</v>
      </c>
      <c r="O210" s="40">
        <v>849546.99</v>
      </c>
      <c r="P210" s="66">
        <f t="shared" si="24"/>
        <v>100</v>
      </c>
    </row>
    <row r="211" spans="1:16" s="14" customFormat="1" ht="25.5" customHeight="1">
      <c r="A211" s="90" t="s">
        <v>200</v>
      </c>
      <c r="B211" s="62"/>
      <c r="C211" s="62"/>
      <c r="D211" s="62"/>
      <c r="E211" s="62"/>
      <c r="F211" s="62"/>
      <c r="G211" s="62"/>
      <c r="H211" s="62"/>
      <c r="I211" s="62"/>
      <c r="J211" s="68"/>
      <c r="K211" s="108"/>
      <c r="L211" s="68"/>
      <c r="M211" s="53">
        <v>345524.99</v>
      </c>
      <c r="N211" s="47">
        <v>0</v>
      </c>
      <c r="O211" s="44">
        <v>345524.99</v>
      </c>
      <c r="P211" s="69">
        <f t="shared" si="24"/>
        <v>100</v>
      </c>
    </row>
    <row r="212" spans="1:16" s="14" customFormat="1" ht="12.75">
      <c r="A212" s="60" t="s">
        <v>71</v>
      </c>
      <c r="B212" s="60"/>
      <c r="C212" s="60"/>
      <c r="D212" s="60"/>
      <c r="E212" s="60"/>
      <c r="F212" s="60"/>
      <c r="G212" s="60"/>
      <c r="H212" s="60"/>
      <c r="I212" s="60"/>
      <c r="J212" s="68"/>
      <c r="K212" s="108"/>
      <c r="L212" s="68"/>
      <c r="M212" s="106">
        <f>M213</f>
        <v>2678828.34</v>
      </c>
      <c r="N212" s="106">
        <f>N213</f>
        <v>0</v>
      </c>
      <c r="O212" s="106">
        <f>O213</f>
        <v>783509.34</v>
      </c>
      <c r="P212" s="61">
        <f t="shared" si="24"/>
        <v>29.2482100588797</v>
      </c>
    </row>
    <row r="213" spans="1:16" s="14" customFormat="1" ht="38.25" customHeight="1">
      <c r="A213" s="62" t="s">
        <v>206</v>
      </c>
      <c r="B213" s="62" t="s">
        <v>44</v>
      </c>
      <c r="C213" s="62" t="s">
        <v>9</v>
      </c>
      <c r="D213" s="62">
        <v>21</v>
      </c>
      <c r="E213" s="62" t="s">
        <v>29</v>
      </c>
      <c r="F213" s="62" t="s">
        <v>14</v>
      </c>
      <c r="G213" s="62" t="s">
        <v>20</v>
      </c>
      <c r="H213" s="62">
        <v>16140</v>
      </c>
      <c r="I213" s="62" t="s">
        <v>32</v>
      </c>
      <c r="J213" s="68"/>
      <c r="K213" s="108"/>
      <c r="L213" s="68"/>
      <c r="M213" s="52">
        <v>2678828.34</v>
      </c>
      <c r="N213" s="42">
        <v>0</v>
      </c>
      <c r="O213" s="40">
        <v>783509.34</v>
      </c>
      <c r="P213" s="66">
        <f t="shared" si="24"/>
        <v>29.2482100588797</v>
      </c>
    </row>
    <row r="214" spans="1:16" s="14" customFormat="1" ht="26.25" customHeight="1">
      <c r="A214" s="90" t="s">
        <v>200</v>
      </c>
      <c r="B214" s="62"/>
      <c r="C214" s="62"/>
      <c r="D214" s="62"/>
      <c r="E214" s="62"/>
      <c r="F214" s="62"/>
      <c r="G214" s="62"/>
      <c r="H214" s="62"/>
      <c r="I214" s="62"/>
      <c r="J214" s="68"/>
      <c r="K214" s="108"/>
      <c r="L214" s="68"/>
      <c r="M214" s="53">
        <v>783509.34</v>
      </c>
      <c r="N214" s="43">
        <v>0</v>
      </c>
      <c r="O214" s="44">
        <v>783509.34</v>
      </c>
      <c r="P214" s="69">
        <f t="shared" si="24"/>
        <v>100</v>
      </c>
    </row>
    <row r="215" spans="1:30" ht="27" customHeight="1">
      <c r="A215" s="82" t="s">
        <v>50</v>
      </c>
      <c r="B215" s="60" t="s">
        <v>51</v>
      </c>
      <c r="C215" s="60">
        <v>0</v>
      </c>
      <c r="D215" s="60"/>
      <c r="E215" s="62" t="s">
        <v>0</v>
      </c>
      <c r="F215" s="62" t="s">
        <v>0</v>
      </c>
      <c r="G215" s="62" t="s">
        <v>0</v>
      </c>
      <c r="H215" s="62"/>
      <c r="I215" s="62" t="s">
        <v>0</v>
      </c>
      <c r="J215" s="70"/>
      <c r="K215" s="70"/>
      <c r="L215" s="70"/>
      <c r="M215" s="83">
        <f>M216</f>
        <v>100024028.33</v>
      </c>
      <c r="N215" s="83">
        <f>N216</f>
        <v>64363190.64</v>
      </c>
      <c r="O215" s="83">
        <f>O216</f>
        <v>94435307.00999999</v>
      </c>
      <c r="P215" s="61">
        <f t="shared" si="24"/>
        <v>94.41262123380828</v>
      </c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</row>
    <row r="216" spans="1:30" s="11" customFormat="1" ht="27.75" customHeight="1">
      <c r="A216" s="82" t="s">
        <v>191</v>
      </c>
      <c r="B216" s="60" t="s">
        <v>51</v>
      </c>
      <c r="C216" s="60">
        <v>0</v>
      </c>
      <c r="D216" s="60">
        <v>14</v>
      </c>
      <c r="E216" s="62"/>
      <c r="F216" s="62"/>
      <c r="G216" s="62"/>
      <c r="H216" s="62"/>
      <c r="I216" s="62"/>
      <c r="J216" s="70"/>
      <c r="K216" s="70"/>
      <c r="L216" s="70"/>
      <c r="M216" s="83">
        <f>M217+M239</f>
        <v>100024028.33</v>
      </c>
      <c r="N216" s="83">
        <f>N217+N239</f>
        <v>64363190.64</v>
      </c>
      <c r="O216" s="83">
        <f>O217+O239</f>
        <v>94435307.00999999</v>
      </c>
      <c r="P216" s="61">
        <f t="shared" si="24"/>
        <v>94.41262123380828</v>
      </c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</row>
    <row r="217" spans="1:30" ht="26.25" customHeight="1">
      <c r="A217" s="82" t="s">
        <v>28</v>
      </c>
      <c r="B217" s="60" t="s">
        <v>51</v>
      </c>
      <c r="C217" s="60">
        <v>0</v>
      </c>
      <c r="D217" s="60">
        <v>14</v>
      </c>
      <c r="E217" s="60">
        <v>819</v>
      </c>
      <c r="F217" s="60" t="s">
        <v>0</v>
      </c>
      <c r="G217" s="60" t="s">
        <v>0</v>
      </c>
      <c r="H217" s="60" t="s">
        <v>0</v>
      </c>
      <c r="I217" s="60" t="s">
        <v>0</v>
      </c>
      <c r="J217" s="79"/>
      <c r="K217" s="79"/>
      <c r="L217" s="79"/>
      <c r="M217" s="83">
        <f>M218</f>
        <v>99924028.33</v>
      </c>
      <c r="N217" s="83">
        <f>N218</f>
        <v>64363190.64</v>
      </c>
      <c r="O217" s="83">
        <f>O218</f>
        <v>94435307.00999999</v>
      </c>
      <c r="P217" s="61">
        <f t="shared" si="24"/>
        <v>94.50710563642065</v>
      </c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</row>
    <row r="218" spans="1:30" ht="25.5" customHeight="1">
      <c r="A218" s="82" t="s">
        <v>59</v>
      </c>
      <c r="B218" s="60">
        <v>25</v>
      </c>
      <c r="C218" s="60">
        <v>0</v>
      </c>
      <c r="D218" s="60">
        <v>14</v>
      </c>
      <c r="E218" s="60">
        <v>819</v>
      </c>
      <c r="F218" s="60"/>
      <c r="G218" s="60"/>
      <c r="H218" s="60"/>
      <c r="I218" s="60"/>
      <c r="J218" s="79"/>
      <c r="K218" s="79"/>
      <c r="L218" s="79"/>
      <c r="M218" s="83">
        <f>M220+M231</f>
        <v>99924028.33</v>
      </c>
      <c r="N218" s="83">
        <f>N220+N231</f>
        <v>64363190.64</v>
      </c>
      <c r="O218" s="83">
        <f>O220+O231</f>
        <v>94435307.00999999</v>
      </c>
      <c r="P218" s="61">
        <f t="shared" si="24"/>
        <v>94.50710563642065</v>
      </c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</row>
    <row r="219" spans="1:30" ht="15" customHeight="1">
      <c r="A219" s="82" t="s">
        <v>52</v>
      </c>
      <c r="B219" s="60" t="s">
        <v>51</v>
      </c>
      <c r="C219" s="60">
        <v>0</v>
      </c>
      <c r="D219" s="60">
        <v>14</v>
      </c>
      <c r="E219" s="60" t="s">
        <v>29</v>
      </c>
      <c r="F219" s="60" t="s">
        <v>11</v>
      </c>
      <c r="G219" s="60" t="s">
        <v>0</v>
      </c>
      <c r="H219" s="60" t="s">
        <v>0</v>
      </c>
      <c r="I219" s="60" t="s">
        <v>0</v>
      </c>
      <c r="J219" s="79"/>
      <c r="K219" s="79"/>
      <c r="L219" s="79"/>
      <c r="M219" s="94">
        <f>M220+M231</f>
        <v>99924028.33</v>
      </c>
      <c r="N219" s="94">
        <f>N220+N231</f>
        <v>64363190.64</v>
      </c>
      <c r="O219" s="94">
        <f>O220+O231</f>
        <v>94435307.00999999</v>
      </c>
      <c r="P219" s="61">
        <f t="shared" si="24"/>
        <v>94.50710563642065</v>
      </c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</row>
    <row r="220" spans="1:30" ht="15" customHeight="1">
      <c r="A220" s="82" t="s">
        <v>53</v>
      </c>
      <c r="B220" s="60" t="s">
        <v>51</v>
      </c>
      <c r="C220" s="60">
        <v>0</v>
      </c>
      <c r="D220" s="60">
        <v>14</v>
      </c>
      <c r="E220" s="60" t="s">
        <v>29</v>
      </c>
      <c r="F220" s="60" t="s">
        <v>11</v>
      </c>
      <c r="G220" s="60" t="s">
        <v>12</v>
      </c>
      <c r="H220" s="60" t="s">
        <v>0</v>
      </c>
      <c r="I220" s="60" t="s">
        <v>0</v>
      </c>
      <c r="J220" s="79"/>
      <c r="K220" s="79"/>
      <c r="L220" s="79"/>
      <c r="M220" s="83">
        <f aca="true" t="shared" si="25" ref="M220:O221">M221</f>
        <v>81371246.33</v>
      </c>
      <c r="N220" s="83">
        <f t="shared" si="25"/>
        <v>61050552.22</v>
      </c>
      <c r="O220" s="83">
        <f t="shared" si="25"/>
        <v>81145318.02</v>
      </c>
      <c r="P220" s="61">
        <f t="shared" si="24"/>
        <v>99.72234871629746</v>
      </c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</row>
    <row r="221" spans="1:30" ht="26.25" customHeight="1">
      <c r="A221" s="82" t="s">
        <v>30</v>
      </c>
      <c r="B221" s="60" t="s">
        <v>51</v>
      </c>
      <c r="C221" s="60">
        <v>0</v>
      </c>
      <c r="D221" s="60">
        <v>14</v>
      </c>
      <c r="E221" s="60" t="s">
        <v>29</v>
      </c>
      <c r="F221" s="60" t="s">
        <v>11</v>
      </c>
      <c r="G221" s="60" t="s">
        <v>12</v>
      </c>
      <c r="H221" s="60">
        <v>11260</v>
      </c>
      <c r="I221" s="60" t="s">
        <v>0</v>
      </c>
      <c r="J221" s="79"/>
      <c r="K221" s="79"/>
      <c r="L221" s="79"/>
      <c r="M221" s="83">
        <f t="shared" si="25"/>
        <v>81371246.33</v>
      </c>
      <c r="N221" s="83">
        <f t="shared" si="25"/>
        <v>61050552.22</v>
      </c>
      <c r="O221" s="83">
        <f t="shared" si="25"/>
        <v>81145318.02</v>
      </c>
      <c r="P221" s="61">
        <f t="shared" si="24"/>
        <v>99.72234871629746</v>
      </c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</row>
    <row r="222" spans="1:30" ht="37.5" customHeight="1">
      <c r="A222" s="82" t="s">
        <v>31</v>
      </c>
      <c r="B222" s="60" t="s">
        <v>51</v>
      </c>
      <c r="C222" s="60">
        <v>0</v>
      </c>
      <c r="D222" s="60">
        <v>14</v>
      </c>
      <c r="E222" s="60" t="s">
        <v>29</v>
      </c>
      <c r="F222" s="60" t="s">
        <v>11</v>
      </c>
      <c r="G222" s="60" t="s">
        <v>12</v>
      </c>
      <c r="H222" s="60">
        <v>11260</v>
      </c>
      <c r="I222" s="60" t="s">
        <v>32</v>
      </c>
      <c r="J222" s="79"/>
      <c r="K222" s="79"/>
      <c r="L222" s="79"/>
      <c r="M222" s="83">
        <f>M223+M227+M229+M225+M230</f>
        <v>81371246.33</v>
      </c>
      <c r="N222" s="83">
        <f>N223+N227+N229+N225+N230</f>
        <v>61050552.22</v>
      </c>
      <c r="O222" s="83">
        <f>O223+O227+O229+O225+O230</f>
        <v>81145318.02</v>
      </c>
      <c r="P222" s="61">
        <f t="shared" si="24"/>
        <v>99.72234871629746</v>
      </c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</row>
    <row r="223" spans="1:30" s="3" customFormat="1" ht="26.25" customHeight="1">
      <c r="A223" s="62" t="s">
        <v>154</v>
      </c>
      <c r="B223" s="62" t="s">
        <v>51</v>
      </c>
      <c r="C223" s="62">
        <v>0</v>
      </c>
      <c r="D223" s="62">
        <v>14</v>
      </c>
      <c r="E223" s="62" t="s">
        <v>29</v>
      </c>
      <c r="F223" s="62" t="s">
        <v>11</v>
      </c>
      <c r="G223" s="62" t="s">
        <v>12</v>
      </c>
      <c r="H223" s="62">
        <v>11260</v>
      </c>
      <c r="I223" s="62" t="s">
        <v>32</v>
      </c>
      <c r="J223" s="70" t="s">
        <v>73</v>
      </c>
      <c r="K223" s="68">
        <v>48</v>
      </c>
      <c r="L223" s="68"/>
      <c r="M223" s="95">
        <v>6902800</v>
      </c>
      <c r="N223" s="40">
        <f>6876230-3900000</f>
        <v>2976230</v>
      </c>
      <c r="O223" s="40">
        <v>6876230</v>
      </c>
      <c r="P223" s="66">
        <f t="shared" si="24"/>
        <v>99.61508373413686</v>
      </c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</row>
    <row r="224" spans="1:30" s="3" customFormat="1" ht="24.75" customHeight="1">
      <c r="A224" s="71" t="s">
        <v>200</v>
      </c>
      <c r="B224" s="62"/>
      <c r="C224" s="62"/>
      <c r="D224" s="62"/>
      <c r="E224" s="62"/>
      <c r="F224" s="62"/>
      <c r="G224" s="62"/>
      <c r="H224" s="62"/>
      <c r="I224" s="62"/>
      <c r="J224" s="70"/>
      <c r="K224" s="68"/>
      <c r="L224" s="68"/>
      <c r="M224" s="96">
        <v>3900000</v>
      </c>
      <c r="N224" s="44">
        <v>0</v>
      </c>
      <c r="O224" s="44">
        <v>3900000</v>
      </c>
      <c r="P224" s="69">
        <f t="shared" si="24"/>
        <v>100</v>
      </c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</row>
    <row r="225" spans="1:30" s="3" customFormat="1" ht="24">
      <c r="A225" s="62" t="s">
        <v>155</v>
      </c>
      <c r="B225" s="62" t="s">
        <v>51</v>
      </c>
      <c r="C225" s="62">
        <v>0</v>
      </c>
      <c r="D225" s="62">
        <v>14</v>
      </c>
      <c r="E225" s="62" t="s">
        <v>29</v>
      </c>
      <c r="F225" s="62" t="s">
        <v>11</v>
      </c>
      <c r="G225" s="62" t="s">
        <v>12</v>
      </c>
      <c r="H225" s="62">
        <v>11260</v>
      </c>
      <c r="I225" s="62" t="s">
        <v>32</v>
      </c>
      <c r="J225" s="70" t="s">
        <v>73</v>
      </c>
      <c r="K225" s="68">
        <v>48</v>
      </c>
      <c r="L225" s="68"/>
      <c r="M225" s="95">
        <v>2824000</v>
      </c>
      <c r="N225" s="40">
        <f>2823741.69-2423865.12</f>
        <v>399876.56999999983</v>
      </c>
      <c r="O225" s="40">
        <v>2624641.69</v>
      </c>
      <c r="P225" s="66">
        <f t="shared" si="24"/>
        <v>92.9405697592068</v>
      </c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</row>
    <row r="226" spans="1:16" s="14" customFormat="1" ht="24.75" customHeight="1">
      <c r="A226" s="71" t="s">
        <v>200</v>
      </c>
      <c r="B226" s="62"/>
      <c r="C226" s="62"/>
      <c r="D226" s="62"/>
      <c r="E226" s="62"/>
      <c r="F226" s="62"/>
      <c r="G226" s="62"/>
      <c r="H226" s="62"/>
      <c r="I226" s="62"/>
      <c r="J226" s="72"/>
      <c r="K226" s="68"/>
      <c r="L226" s="68"/>
      <c r="M226" s="97">
        <v>2423865.12</v>
      </c>
      <c r="N226" s="44">
        <v>0</v>
      </c>
      <c r="O226" s="44">
        <v>2423865.12</v>
      </c>
      <c r="P226" s="69">
        <f t="shared" si="24"/>
        <v>100</v>
      </c>
    </row>
    <row r="227" spans="1:30" s="2" customFormat="1" ht="24.75" customHeight="1">
      <c r="A227" s="62" t="s">
        <v>404</v>
      </c>
      <c r="B227" s="62" t="s">
        <v>51</v>
      </c>
      <c r="C227" s="62">
        <v>0</v>
      </c>
      <c r="D227" s="62">
        <v>14</v>
      </c>
      <c r="E227" s="62" t="s">
        <v>29</v>
      </c>
      <c r="F227" s="62" t="s">
        <v>11</v>
      </c>
      <c r="G227" s="62" t="s">
        <v>12</v>
      </c>
      <c r="H227" s="62">
        <v>11260</v>
      </c>
      <c r="I227" s="62" t="s">
        <v>32</v>
      </c>
      <c r="J227" s="70" t="s">
        <v>57</v>
      </c>
      <c r="K227" s="70">
        <v>9157.3</v>
      </c>
      <c r="L227" s="70"/>
      <c r="M227" s="95">
        <v>39170980</v>
      </c>
      <c r="N227" s="40">
        <f>39170980-13970000.68</f>
        <v>25200979.32</v>
      </c>
      <c r="O227" s="40">
        <v>39170980</v>
      </c>
      <c r="P227" s="66">
        <f t="shared" si="24"/>
        <v>100</v>
      </c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</row>
    <row r="228" spans="1:30" s="10" customFormat="1" ht="22.5" customHeight="1">
      <c r="A228" s="71" t="s">
        <v>200</v>
      </c>
      <c r="B228" s="62"/>
      <c r="C228" s="62"/>
      <c r="D228" s="62"/>
      <c r="E228" s="62"/>
      <c r="F228" s="62"/>
      <c r="G228" s="62"/>
      <c r="H228" s="62"/>
      <c r="I228" s="62"/>
      <c r="J228" s="70"/>
      <c r="K228" s="70"/>
      <c r="L228" s="70"/>
      <c r="M228" s="96">
        <v>13970000.68</v>
      </c>
      <c r="N228" s="44">
        <v>0</v>
      </c>
      <c r="O228" s="44">
        <v>13970000.68</v>
      </c>
      <c r="P228" s="69">
        <f t="shared" si="24"/>
        <v>100</v>
      </c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</row>
    <row r="229" spans="1:30" s="10" customFormat="1" ht="26.25" customHeight="1">
      <c r="A229" s="62" t="s">
        <v>323</v>
      </c>
      <c r="B229" s="77" t="s">
        <v>51</v>
      </c>
      <c r="C229" s="77">
        <v>0</v>
      </c>
      <c r="D229" s="62">
        <v>14</v>
      </c>
      <c r="E229" s="77" t="s">
        <v>29</v>
      </c>
      <c r="F229" s="77" t="s">
        <v>11</v>
      </c>
      <c r="G229" s="77" t="s">
        <v>12</v>
      </c>
      <c r="H229" s="62">
        <v>11260</v>
      </c>
      <c r="I229" s="77" t="s">
        <v>32</v>
      </c>
      <c r="J229" s="70" t="s">
        <v>113</v>
      </c>
      <c r="K229" s="68">
        <v>2636.11</v>
      </c>
      <c r="L229" s="68"/>
      <c r="M229" s="95">
        <v>4708466</v>
      </c>
      <c r="N229" s="40">
        <v>4708466</v>
      </c>
      <c r="O229" s="40">
        <v>4708466</v>
      </c>
      <c r="P229" s="66">
        <f t="shared" si="24"/>
        <v>100</v>
      </c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</row>
    <row r="230" spans="1:30" s="10" customFormat="1" ht="15" customHeight="1">
      <c r="A230" s="62" t="s">
        <v>263</v>
      </c>
      <c r="B230" s="77">
        <v>25</v>
      </c>
      <c r="C230" s="77">
        <v>0</v>
      </c>
      <c r="D230" s="62">
        <v>14</v>
      </c>
      <c r="E230" s="77" t="s">
        <v>29</v>
      </c>
      <c r="F230" s="77" t="s">
        <v>11</v>
      </c>
      <c r="G230" s="77" t="s">
        <v>12</v>
      </c>
      <c r="H230" s="62">
        <v>11260</v>
      </c>
      <c r="I230" s="77" t="s">
        <v>32</v>
      </c>
      <c r="J230" s="72"/>
      <c r="K230" s="68"/>
      <c r="L230" s="72"/>
      <c r="M230" s="95">
        <v>27765000.33</v>
      </c>
      <c r="N230" s="40">
        <v>27765000.33</v>
      </c>
      <c r="O230" s="40">
        <v>27765000.33</v>
      </c>
      <c r="P230" s="66">
        <f t="shared" si="24"/>
        <v>100</v>
      </c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</row>
    <row r="231" spans="1:30" ht="15.75" customHeight="1">
      <c r="A231" s="82" t="s">
        <v>54</v>
      </c>
      <c r="B231" s="60" t="s">
        <v>51</v>
      </c>
      <c r="C231" s="60">
        <v>0</v>
      </c>
      <c r="D231" s="60">
        <v>14</v>
      </c>
      <c r="E231" s="60" t="s">
        <v>29</v>
      </c>
      <c r="F231" s="60" t="s">
        <v>11</v>
      </c>
      <c r="G231" s="60" t="s">
        <v>13</v>
      </c>
      <c r="H231" s="60" t="s">
        <v>0</v>
      </c>
      <c r="I231" s="60" t="s">
        <v>0</v>
      </c>
      <c r="J231" s="79"/>
      <c r="K231" s="79"/>
      <c r="L231" s="79"/>
      <c r="M231" s="83">
        <f>M232+M233</f>
        <v>18552782</v>
      </c>
      <c r="N231" s="83">
        <f>N232+N233</f>
        <v>3312638.42</v>
      </c>
      <c r="O231" s="83">
        <f>O232+O233</f>
        <v>13289988.99</v>
      </c>
      <c r="P231" s="61">
        <f t="shared" si="24"/>
        <v>71.63340241910889</v>
      </c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</row>
    <row r="232" spans="1:30" ht="29.25" customHeight="1">
      <c r="A232" s="82" t="s">
        <v>30</v>
      </c>
      <c r="B232" s="60" t="s">
        <v>51</v>
      </c>
      <c r="C232" s="60">
        <v>0</v>
      </c>
      <c r="D232" s="60">
        <v>14</v>
      </c>
      <c r="E232" s="60" t="s">
        <v>29</v>
      </c>
      <c r="F232" s="60" t="s">
        <v>11</v>
      </c>
      <c r="G232" s="60" t="s">
        <v>13</v>
      </c>
      <c r="H232" s="60">
        <v>11260</v>
      </c>
      <c r="I232" s="60" t="s">
        <v>0</v>
      </c>
      <c r="J232" s="79"/>
      <c r="K232" s="79"/>
      <c r="L232" s="79"/>
      <c r="M232" s="83">
        <f aca="true" t="shared" si="26" ref="M232:O233">M234</f>
        <v>13552782</v>
      </c>
      <c r="N232" s="83">
        <f t="shared" si="26"/>
        <v>3271803.26</v>
      </c>
      <c r="O232" s="83">
        <f t="shared" si="26"/>
        <v>13270963.83</v>
      </c>
      <c r="P232" s="61">
        <f t="shared" si="24"/>
        <v>97.92058803867722</v>
      </c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</row>
    <row r="233" spans="1:30" s="11" customFormat="1" ht="63" customHeight="1">
      <c r="A233" s="104" t="s">
        <v>278</v>
      </c>
      <c r="B233" s="60" t="s">
        <v>51</v>
      </c>
      <c r="C233" s="60">
        <v>0</v>
      </c>
      <c r="D233" s="60">
        <v>14</v>
      </c>
      <c r="E233" s="60" t="s">
        <v>29</v>
      </c>
      <c r="F233" s="60" t="s">
        <v>11</v>
      </c>
      <c r="G233" s="60" t="s">
        <v>13</v>
      </c>
      <c r="H233" s="60" t="s">
        <v>277</v>
      </c>
      <c r="I233" s="60"/>
      <c r="J233" s="79"/>
      <c r="K233" s="79"/>
      <c r="L233" s="79"/>
      <c r="M233" s="83">
        <f t="shared" si="26"/>
        <v>5000000</v>
      </c>
      <c r="N233" s="83">
        <f t="shared" si="26"/>
        <v>40835.16</v>
      </c>
      <c r="O233" s="83">
        <f t="shared" si="26"/>
        <v>19025.16</v>
      </c>
      <c r="P233" s="61">
        <f t="shared" si="24"/>
        <v>0.3805032</v>
      </c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</row>
    <row r="234" spans="1:30" ht="21" customHeight="1">
      <c r="A234" s="196" t="s">
        <v>31</v>
      </c>
      <c r="B234" s="60" t="s">
        <v>51</v>
      </c>
      <c r="C234" s="60">
        <v>0</v>
      </c>
      <c r="D234" s="60">
        <v>14</v>
      </c>
      <c r="E234" s="60" t="s">
        <v>29</v>
      </c>
      <c r="F234" s="60" t="s">
        <v>11</v>
      </c>
      <c r="G234" s="60" t="s">
        <v>13</v>
      </c>
      <c r="H234" s="60">
        <v>11260</v>
      </c>
      <c r="I234" s="60" t="s">
        <v>32</v>
      </c>
      <c r="J234" s="79"/>
      <c r="K234" s="79"/>
      <c r="L234" s="79"/>
      <c r="M234" s="83">
        <f>M237</f>
        <v>13552782</v>
      </c>
      <c r="N234" s="83">
        <f>N237</f>
        <v>3271803.26</v>
      </c>
      <c r="O234" s="83">
        <f>O237</f>
        <v>13270963.83</v>
      </c>
      <c r="P234" s="61">
        <f t="shared" si="24"/>
        <v>97.92058803867722</v>
      </c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</row>
    <row r="235" spans="1:30" s="11" customFormat="1" ht="15.75" customHeight="1">
      <c r="A235" s="197"/>
      <c r="B235" s="60" t="s">
        <v>51</v>
      </c>
      <c r="C235" s="60">
        <v>0</v>
      </c>
      <c r="D235" s="60">
        <v>14</v>
      </c>
      <c r="E235" s="60" t="s">
        <v>29</v>
      </c>
      <c r="F235" s="60" t="s">
        <v>11</v>
      </c>
      <c r="G235" s="60" t="s">
        <v>13</v>
      </c>
      <c r="H235" s="60" t="s">
        <v>277</v>
      </c>
      <c r="I235" s="60" t="s">
        <v>32</v>
      </c>
      <c r="J235" s="79"/>
      <c r="K235" s="79"/>
      <c r="L235" s="79"/>
      <c r="M235" s="83">
        <f>M236</f>
        <v>5000000</v>
      </c>
      <c r="N235" s="83">
        <f>N236</f>
        <v>40835.16</v>
      </c>
      <c r="O235" s="83">
        <f>O236</f>
        <v>19025.16</v>
      </c>
      <c r="P235" s="61">
        <f t="shared" si="24"/>
        <v>0.3805032</v>
      </c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</row>
    <row r="236" spans="1:30" s="11" customFormat="1" ht="29.25" customHeight="1">
      <c r="A236" s="81" t="s">
        <v>306</v>
      </c>
      <c r="B236" s="62" t="s">
        <v>51</v>
      </c>
      <c r="C236" s="62">
        <v>0</v>
      </c>
      <c r="D236" s="62">
        <v>14</v>
      </c>
      <c r="E236" s="62" t="s">
        <v>29</v>
      </c>
      <c r="F236" s="62" t="s">
        <v>11</v>
      </c>
      <c r="G236" s="62" t="s">
        <v>13</v>
      </c>
      <c r="H236" s="62" t="s">
        <v>277</v>
      </c>
      <c r="I236" s="62" t="s">
        <v>32</v>
      </c>
      <c r="J236" s="70" t="s">
        <v>113</v>
      </c>
      <c r="K236" s="68">
        <v>6869</v>
      </c>
      <c r="L236" s="72" t="s">
        <v>232</v>
      </c>
      <c r="M236" s="95">
        <v>5000000</v>
      </c>
      <c r="N236" s="40">
        <v>40835.16</v>
      </c>
      <c r="O236" s="40">
        <v>19025.16</v>
      </c>
      <c r="P236" s="66">
        <f t="shared" si="24"/>
        <v>0.3805032</v>
      </c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</row>
    <row r="237" spans="1:30" ht="24" customHeight="1">
      <c r="A237" s="88" t="s">
        <v>156</v>
      </c>
      <c r="B237" s="62" t="s">
        <v>51</v>
      </c>
      <c r="C237" s="62">
        <v>0</v>
      </c>
      <c r="D237" s="62">
        <v>14</v>
      </c>
      <c r="E237" s="62" t="s">
        <v>29</v>
      </c>
      <c r="F237" s="62" t="s">
        <v>11</v>
      </c>
      <c r="G237" s="62" t="s">
        <v>13</v>
      </c>
      <c r="H237" s="62">
        <v>11260</v>
      </c>
      <c r="I237" s="62" t="s">
        <v>32</v>
      </c>
      <c r="J237" s="70" t="s">
        <v>73</v>
      </c>
      <c r="K237" s="68">
        <v>24</v>
      </c>
      <c r="L237" s="68"/>
      <c r="M237" s="95">
        <v>13552782</v>
      </c>
      <c r="N237" s="40">
        <f>13270963.83-9999160.57</f>
        <v>3271803.26</v>
      </c>
      <c r="O237" s="40">
        <v>13270963.83</v>
      </c>
      <c r="P237" s="66">
        <f t="shared" si="24"/>
        <v>97.92058803867722</v>
      </c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</row>
    <row r="238" spans="1:30" s="11" customFormat="1" ht="24.75" customHeight="1">
      <c r="A238" s="71" t="s">
        <v>235</v>
      </c>
      <c r="B238" s="62"/>
      <c r="C238" s="62"/>
      <c r="D238" s="62"/>
      <c r="E238" s="62"/>
      <c r="F238" s="62"/>
      <c r="G238" s="62"/>
      <c r="H238" s="62"/>
      <c r="I238" s="62"/>
      <c r="J238" s="70"/>
      <c r="K238" s="68"/>
      <c r="L238" s="68"/>
      <c r="M238" s="97">
        <f>5230159.9+4769000.67</f>
        <v>9999160.57</v>
      </c>
      <c r="N238" s="43">
        <v>0</v>
      </c>
      <c r="O238" s="44">
        <v>9999160.57</v>
      </c>
      <c r="P238" s="69">
        <f t="shared" si="24"/>
        <v>100</v>
      </c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</row>
    <row r="239" spans="1:30" s="11" customFormat="1" ht="26.25" customHeight="1">
      <c r="A239" s="82" t="s">
        <v>173</v>
      </c>
      <c r="B239" s="60" t="s">
        <v>51</v>
      </c>
      <c r="C239" s="60">
        <v>0</v>
      </c>
      <c r="D239" s="60">
        <v>14</v>
      </c>
      <c r="E239" s="60">
        <v>825</v>
      </c>
      <c r="F239" s="62"/>
      <c r="G239" s="62"/>
      <c r="H239" s="62"/>
      <c r="I239" s="62"/>
      <c r="J239" s="70"/>
      <c r="K239" s="68"/>
      <c r="L239" s="68"/>
      <c r="M239" s="83">
        <f>M240</f>
        <v>100000</v>
      </c>
      <c r="N239" s="83">
        <f>N240</f>
        <v>0</v>
      </c>
      <c r="O239" s="83">
        <f>O240</f>
        <v>0</v>
      </c>
      <c r="P239" s="61">
        <f t="shared" si="24"/>
        <v>0</v>
      </c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</row>
    <row r="240" spans="1:30" s="11" customFormat="1" ht="17.25" customHeight="1">
      <c r="A240" s="82" t="s">
        <v>174</v>
      </c>
      <c r="B240" s="60">
        <v>25</v>
      </c>
      <c r="C240" s="60">
        <v>0</v>
      </c>
      <c r="D240" s="60">
        <v>14</v>
      </c>
      <c r="E240" s="60">
        <v>825</v>
      </c>
      <c r="F240" s="62"/>
      <c r="G240" s="62"/>
      <c r="H240" s="62"/>
      <c r="I240" s="62"/>
      <c r="J240" s="70"/>
      <c r="K240" s="68"/>
      <c r="L240" s="68"/>
      <c r="M240" s="83">
        <f>M242</f>
        <v>100000</v>
      </c>
      <c r="N240" s="83">
        <f>N242</f>
        <v>0</v>
      </c>
      <c r="O240" s="83">
        <f>O242</f>
        <v>0</v>
      </c>
      <c r="P240" s="61">
        <f t="shared" si="24"/>
        <v>0</v>
      </c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</row>
    <row r="241" spans="1:30" s="11" customFormat="1" ht="15" customHeight="1">
      <c r="A241" s="82" t="s">
        <v>52</v>
      </c>
      <c r="B241" s="60" t="s">
        <v>51</v>
      </c>
      <c r="C241" s="60">
        <v>0</v>
      </c>
      <c r="D241" s="60">
        <v>14</v>
      </c>
      <c r="E241" s="60">
        <v>825</v>
      </c>
      <c r="F241" s="60" t="s">
        <v>11</v>
      </c>
      <c r="G241" s="60" t="s">
        <v>0</v>
      </c>
      <c r="H241" s="60" t="s">
        <v>0</v>
      </c>
      <c r="I241" s="60" t="s">
        <v>0</v>
      </c>
      <c r="J241" s="79"/>
      <c r="K241" s="79"/>
      <c r="L241" s="79"/>
      <c r="M241" s="83">
        <f>M242</f>
        <v>100000</v>
      </c>
      <c r="N241" s="83">
        <f aca="true" t="shared" si="27" ref="N241:O243">N242</f>
        <v>0</v>
      </c>
      <c r="O241" s="83">
        <f t="shared" si="27"/>
        <v>0</v>
      </c>
      <c r="P241" s="61">
        <f t="shared" si="24"/>
        <v>0</v>
      </c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</row>
    <row r="242" spans="1:30" s="11" customFormat="1" ht="12.75">
      <c r="A242" s="82" t="s">
        <v>54</v>
      </c>
      <c r="B242" s="60" t="s">
        <v>51</v>
      </c>
      <c r="C242" s="60">
        <v>0</v>
      </c>
      <c r="D242" s="60">
        <v>14</v>
      </c>
      <c r="E242" s="60">
        <v>825</v>
      </c>
      <c r="F242" s="60" t="s">
        <v>11</v>
      </c>
      <c r="G242" s="60" t="s">
        <v>13</v>
      </c>
      <c r="H242" s="60" t="s">
        <v>0</v>
      </c>
      <c r="I242" s="60" t="s">
        <v>0</v>
      </c>
      <c r="J242" s="70"/>
      <c r="K242" s="68"/>
      <c r="L242" s="68"/>
      <c r="M242" s="83">
        <f>M243</f>
        <v>100000</v>
      </c>
      <c r="N242" s="83">
        <f t="shared" si="27"/>
        <v>0</v>
      </c>
      <c r="O242" s="83">
        <f t="shared" si="27"/>
        <v>0</v>
      </c>
      <c r="P242" s="61">
        <f t="shared" si="24"/>
        <v>0</v>
      </c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</row>
    <row r="243" spans="1:30" s="11" customFormat="1" ht="27.75" customHeight="1">
      <c r="A243" s="82" t="s">
        <v>30</v>
      </c>
      <c r="B243" s="60" t="s">
        <v>51</v>
      </c>
      <c r="C243" s="60">
        <v>0</v>
      </c>
      <c r="D243" s="60">
        <v>14</v>
      </c>
      <c r="E243" s="60">
        <v>825</v>
      </c>
      <c r="F243" s="60" t="s">
        <v>11</v>
      </c>
      <c r="G243" s="60" t="s">
        <v>13</v>
      </c>
      <c r="H243" s="60">
        <v>1411260</v>
      </c>
      <c r="I243" s="60" t="s">
        <v>0</v>
      </c>
      <c r="J243" s="70"/>
      <c r="K243" s="68"/>
      <c r="L243" s="68"/>
      <c r="M243" s="83">
        <f>M244</f>
        <v>100000</v>
      </c>
      <c r="N243" s="83">
        <f t="shared" si="27"/>
        <v>0</v>
      </c>
      <c r="O243" s="83">
        <f t="shared" si="27"/>
        <v>0</v>
      </c>
      <c r="P243" s="61">
        <f t="shared" si="24"/>
        <v>0</v>
      </c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</row>
    <row r="244" spans="1:30" s="11" customFormat="1" ht="51.75" customHeight="1">
      <c r="A244" s="82" t="s">
        <v>175</v>
      </c>
      <c r="B244" s="60" t="s">
        <v>51</v>
      </c>
      <c r="C244" s="60">
        <v>0</v>
      </c>
      <c r="D244" s="60">
        <v>14</v>
      </c>
      <c r="E244" s="60">
        <v>825</v>
      </c>
      <c r="F244" s="60" t="s">
        <v>11</v>
      </c>
      <c r="G244" s="60" t="s">
        <v>13</v>
      </c>
      <c r="H244" s="60">
        <v>1411260</v>
      </c>
      <c r="I244" s="60">
        <v>465</v>
      </c>
      <c r="J244" s="70"/>
      <c r="K244" s="68"/>
      <c r="L244" s="68"/>
      <c r="M244" s="83">
        <f>M245+M246</f>
        <v>100000</v>
      </c>
      <c r="N244" s="83">
        <f>N245+N246</f>
        <v>0</v>
      </c>
      <c r="O244" s="83">
        <f>O245+O246</f>
        <v>0</v>
      </c>
      <c r="P244" s="61">
        <f t="shared" si="24"/>
        <v>0</v>
      </c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</row>
    <row r="245" spans="1:30" s="11" customFormat="1" ht="39.75" customHeight="1">
      <c r="A245" s="88" t="s">
        <v>374</v>
      </c>
      <c r="B245" s="62" t="s">
        <v>51</v>
      </c>
      <c r="C245" s="62">
        <v>0</v>
      </c>
      <c r="D245" s="62">
        <v>14</v>
      </c>
      <c r="E245" s="62">
        <v>825</v>
      </c>
      <c r="F245" s="62" t="s">
        <v>11</v>
      </c>
      <c r="G245" s="62" t="s">
        <v>13</v>
      </c>
      <c r="H245" s="62">
        <v>1411260</v>
      </c>
      <c r="I245" s="62">
        <v>465</v>
      </c>
      <c r="J245" s="70"/>
      <c r="K245" s="68"/>
      <c r="L245" s="68"/>
      <c r="M245" s="95">
        <v>50000</v>
      </c>
      <c r="N245" s="64"/>
      <c r="O245" s="64"/>
      <c r="P245" s="66">
        <f t="shared" si="24"/>
        <v>0</v>
      </c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</row>
    <row r="246" spans="1:30" s="11" customFormat="1" ht="28.5" customHeight="1">
      <c r="A246" s="88" t="s">
        <v>275</v>
      </c>
      <c r="B246" s="62">
        <v>25</v>
      </c>
      <c r="C246" s="62">
        <v>0</v>
      </c>
      <c r="D246" s="62">
        <v>14</v>
      </c>
      <c r="E246" s="62">
        <v>825</v>
      </c>
      <c r="F246" s="62" t="s">
        <v>11</v>
      </c>
      <c r="G246" s="62" t="s">
        <v>13</v>
      </c>
      <c r="H246" s="62">
        <v>1411260</v>
      </c>
      <c r="I246" s="62">
        <v>465</v>
      </c>
      <c r="J246" s="70" t="s">
        <v>58</v>
      </c>
      <c r="K246" s="68">
        <v>260</v>
      </c>
      <c r="L246" s="68">
        <v>2017</v>
      </c>
      <c r="M246" s="95">
        <v>50000</v>
      </c>
      <c r="N246" s="64"/>
      <c r="O246" s="64"/>
      <c r="P246" s="66">
        <f t="shared" si="24"/>
        <v>0</v>
      </c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</row>
    <row r="247" spans="1:30" ht="36" customHeight="1">
      <c r="A247" s="60" t="s">
        <v>325</v>
      </c>
      <c r="B247" s="60">
        <v>40</v>
      </c>
      <c r="C247" s="62"/>
      <c r="D247" s="62"/>
      <c r="E247" s="62"/>
      <c r="F247" s="62"/>
      <c r="G247" s="62"/>
      <c r="H247" s="62"/>
      <c r="I247" s="62"/>
      <c r="J247" s="68"/>
      <c r="K247" s="68"/>
      <c r="L247" s="68"/>
      <c r="M247" s="83">
        <f>M248</f>
        <v>12710276.79</v>
      </c>
      <c r="N247" s="83">
        <f aca="true" t="shared" si="28" ref="N247:O249">N248</f>
        <v>9121739.61</v>
      </c>
      <c r="O247" s="83">
        <f t="shared" si="28"/>
        <v>9118139.61</v>
      </c>
      <c r="P247" s="61">
        <f t="shared" si="24"/>
        <v>71.7383245121289</v>
      </c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</row>
    <row r="248" spans="1:30" s="11" customFormat="1" ht="36.75" customHeight="1">
      <c r="A248" s="60" t="s">
        <v>326</v>
      </c>
      <c r="B248" s="60">
        <v>40</v>
      </c>
      <c r="C248" s="60">
        <v>5</v>
      </c>
      <c r="D248" s="60"/>
      <c r="E248" s="62"/>
      <c r="F248" s="62"/>
      <c r="G248" s="62"/>
      <c r="H248" s="62"/>
      <c r="I248" s="62"/>
      <c r="J248" s="68"/>
      <c r="K248" s="68"/>
      <c r="L248" s="68"/>
      <c r="M248" s="83">
        <f>M249</f>
        <v>12710276.79</v>
      </c>
      <c r="N248" s="83">
        <f t="shared" si="28"/>
        <v>9121739.61</v>
      </c>
      <c r="O248" s="83">
        <f t="shared" si="28"/>
        <v>9118139.61</v>
      </c>
      <c r="P248" s="61">
        <f t="shared" si="24"/>
        <v>71.7383245121289</v>
      </c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</row>
    <row r="249" spans="1:30" s="11" customFormat="1" ht="37.5" customHeight="1">
      <c r="A249" s="60" t="s">
        <v>192</v>
      </c>
      <c r="B249" s="60">
        <v>40</v>
      </c>
      <c r="C249" s="60">
        <v>5</v>
      </c>
      <c r="D249" s="60">
        <v>51</v>
      </c>
      <c r="E249" s="62"/>
      <c r="F249" s="62"/>
      <c r="G249" s="62"/>
      <c r="H249" s="62"/>
      <c r="I249" s="62"/>
      <c r="J249" s="68"/>
      <c r="K249" s="68"/>
      <c r="L249" s="68"/>
      <c r="M249" s="83">
        <f>M250</f>
        <v>12710276.79</v>
      </c>
      <c r="N249" s="83">
        <f t="shared" si="28"/>
        <v>9121739.61</v>
      </c>
      <c r="O249" s="83">
        <f t="shared" si="28"/>
        <v>9118139.61</v>
      </c>
      <c r="P249" s="61">
        <f t="shared" si="24"/>
        <v>71.7383245121289</v>
      </c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</row>
    <row r="250" spans="1:30" ht="24">
      <c r="A250" s="82" t="s">
        <v>28</v>
      </c>
      <c r="B250" s="60">
        <v>40</v>
      </c>
      <c r="C250" s="60">
        <v>5</v>
      </c>
      <c r="D250" s="60">
        <v>51</v>
      </c>
      <c r="E250" s="60">
        <v>819</v>
      </c>
      <c r="F250" s="62"/>
      <c r="G250" s="62"/>
      <c r="H250" s="62"/>
      <c r="I250" s="62"/>
      <c r="J250" s="68"/>
      <c r="K250" s="68"/>
      <c r="L250" s="68"/>
      <c r="M250" s="83">
        <f aca="true" t="shared" si="29" ref="M250:O255">M251</f>
        <v>12710276.79</v>
      </c>
      <c r="N250" s="83">
        <f t="shared" si="29"/>
        <v>9121739.61</v>
      </c>
      <c r="O250" s="83">
        <f t="shared" si="29"/>
        <v>9118139.61</v>
      </c>
      <c r="P250" s="61">
        <f t="shared" si="24"/>
        <v>71.7383245121289</v>
      </c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</row>
    <row r="251" spans="1:30" ht="27" customHeight="1">
      <c r="A251" s="82" t="s">
        <v>59</v>
      </c>
      <c r="B251" s="60">
        <v>40</v>
      </c>
      <c r="C251" s="60">
        <v>5</v>
      </c>
      <c r="D251" s="60">
        <v>51</v>
      </c>
      <c r="E251" s="60">
        <v>819</v>
      </c>
      <c r="F251" s="62"/>
      <c r="G251" s="62"/>
      <c r="H251" s="62"/>
      <c r="I251" s="62"/>
      <c r="J251" s="68"/>
      <c r="K251" s="68"/>
      <c r="L251" s="68"/>
      <c r="M251" s="83">
        <f t="shared" si="29"/>
        <v>12710276.79</v>
      </c>
      <c r="N251" s="83">
        <f t="shared" si="29"/>
        <v>9121739.61</v>
      </c>
      <c r="O251" s="83">
        <f t="shared" si="29"/>
        <v>9118139.61</v>
      </c>
      <c r="P251" s="61">
        <f t="shared" si="24"/>
        <v>71.7383245121289</v>
      </c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</row>
    <row r="252" spans="1:30" ht="12.75">
      <c r="A252" s="82" t="s">
        <v>16</v>
      </c>
      <c r="B252" s="60">
        <v>40</v>
      </c>
      <c r="C252" s="60">
        <v>5</v>
      </c>
      <c r="D252" s="60">
        <v>51</v>
      </c>
      <c r="E252" s="60">
        <v>819</v>
      </c>
      <c r="F252" s="74" t="s">
        <v>14</v>
      </c>
      <c r="G252" s="62"/>
      <c r="H252" s="62"/>
      <c r="I252" s="62"/>
      <c r="J252" s="68"/>
      <c r="K252" s="68"/>
      <c r="L252" s="68"/>
      <c r="M252" s="83">
        <f t="shared" si="29"/>
        <v>12710276.79</v>
      </c>
      <c r="N252" s="83">
        <f t="shared" si="29"/>
        <v>9121739.61</v>
      </c>
      <c r="O252" s="83">
        <f t="shared" si="29"/>
        <v>9118139.61</v>
      </c>
      <c r="P252" s="61">
        <f t="shared" si="24"/>
        <v>71.7383245121289</v>
      </c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</row>
    <row r="253" spans="1:30" ht="20.25" customHeight="1">
      <c r="A253" s="82" t="s">
        <v>89</v>
      </c>
      <c r="B253" s="60">
        <v>40</v>
      </c>
      <c r="C253" s="60">
        <v>5</v>
      </c>
      <c r="D253" s="60">
        <v>51</v>
      </c>
      <c r="E253" s="60">
        <v>819</v>
      </c>
      <c r="F253" s="74" t="s">
        <v>14</v>
      </c>
      <c r="G253" s="60">
        <v>12</v>
      </c>
      <c r="H253" s="62"/>
      <c r="I253" s="62"/>
      <c r="J253" s="68"/>
      <c r="K253" s="68"/>
      <c r="L253" s="68"/>
      <c r="M253" s="83">
        <f t="shared" si="29"/>
        <v>12710276.79</v>
      </c>
      <c r="N253" s="83">
        <f t="shared" si="29"/>
        <v>9121739.61</v>
      </c>
      <c r="O253" s="83">
        <f t="shared" si="29"/>
        <v>9118139.61</v>
      </c>
      <c r="P253" s="61">
        <f t="shared" si="24"/>
        <v>71.7383245121289</v>
      </c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</row>
    <row r="254" spans="1:30" ht="27" customHeight="1">
      <c r="A254" s="60" t="s">
        <v>327</v>
      </c>
      <c r="B254" s="60">
        <v>40</v>
      </c>
      <c r="C254" s="60">
        <v>5</v>
      </c>
      <c r="D254" s="60">
        <v>51</v>
      </c>
      <c r="E254" s="60" t="s">
        <v>29</v>
      </c>
      <c r="F254" s="74" t="s">
        <v>14</v>
      </c>
      <c r="G254" s="60">
        <v>12</v>
      </c>
      <c r="H254" s="60" t="str">
        <f>H255</f>
        <v>R1110</v>
      </c>
      <c r="I254" s="60" t="s">
        <v>0</v>
      </c>
      <c r="J254" s="68"/>
      <c r="K254" s="68"/>
      <c r="L254" s="68"/>
      <c r="M254" s="83">
        <f t="shared" si="29"/>
        <v>12710276.79</v>
      </c>
      <c r="N254" s="83">
        <f t="shared" si="29"/>
        <v>9121739.61</v>
      </c>
      <c r="O254" s="83">
        <f t="shared" si="29"/>
        <v>9118139.61</v>
      </c>
      <c r="P254" s="61">
        <f t="shared" si="24"/>
        <v>71.7383245121289</v>
      </c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</row>
    <row r="255" spans="1:30" ht="38.25" customHeight="1">
      <c r="A255" s="60" t="s">
        <v>31</v>
      </c>
      <c r="B255" s="60">
        <v>40</v>
      </c>
      <c r="C255" s="60">
        <v>5</v>
      </c>
      <c r="D255" s="60">
        <v>51</v>
      </c>
      <c r="E255" s="60" t="s">
        <v>29</v>
      </c>
      <c r="F255" s="74" t="s">
        <v>14</v>
      </c>
      <c r="G255" s="60">
        <v>12</v>
      </c>
      <c r="H255" s="60" t="str">
        <f>H256</f>
        <v>R1110</v>
      </c>
      <c r="I255" s="60" t="s">
        <v>32</v>
      </c>
      <c r="J255" s="70"/>
      <c r="K255" s="70"/>
      <c r="L255" s="70"/>
      <c r="M255" s="83">
        <f t="shared" si="29"/>
        <v>12710276.79</v>
      </c>
      <c r="N255" s="83">
        <f t="shared" si="29"/>
        <v>9121739.61</v>
      </c>
      <c r="O255" s="83">
        <f t="shared" si="29"/>
        <v>9118139.61</v>
      </c>
      <c r="P255" s="61">
        <f t="shared" si="24"/>
        <v>71.7383245121289</v>
      </c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</row>
    <row r="256" spans="1:30" s="2" customFormat="1" ht="38.25" customHeight="1">
      <c r="A256" s="109" t="s">
        <v>373</v>
      </c>
      <c r="B256" s="62">
        <v>40</v>
      </c>
      <c r="C256" s="62">
        <v>5</v>
      </c>
      <c r="D256" s="62">
        <v>51</v>
      </c>
      <c r="E256" s="62" t="s">
        <v>29</v>
      </c>
      <c r="F256" s="75" t="s">
        <v>14</v>
      </c>
      <c r="G256" s="62">
        <v>12</v>
      </c>
      <c r="H256" s="62" t="s">
        <v>324</v>
      </c>
      <c r="I256" s="62" t="s">
        <v>32</v>
      </c>
      <c r="J256" s="68" t="s">
        <v>113</v>
      </c>
      <c r="K256" s="68">
        <v>20173</v>
      </c>
      <c r="L256" s="68">
        <v>2016</v>
      </c>
      <c r="M256" s="95">
        <v>12710276.79</v>
      </c>
      <c r="N256" s="40">
        <v>9121739.61</v>
      </c>
      <c r="O256" s="40">
        <v>9118139.61</v>
      </c>
      <c r="P256" s="66">
        <f t="shared" si="24"/>
        <v>71.7383245121289</v>
      </c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</row>
    <row r="257" spans="1:29" s="10" customFormat="1" ht="13.5" customHeight="1">
      <c r="A257" s="24"/>
      <c r="B257" s="25"/>
      <c r="C257" s="25"/>
      <c r="D257" s="25"/>
      <c r="E257" s="25"/>
      <c r="F257" s="26"/>
      <c r="G257" s="27"/>
      <c r="H257" s="27"/>
      <c r="I257" s="27"/>
      <c r="J257" s="28"/>
      <c r="K257" s="28"/>
      <c r="L257" s="30"/>
      <c r="M257" s="29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</row>
    <row r="258" spans="1:16" ht="22.5" customHeight="1">
      <c r="A258" s="194" t="s">
        <v>405</v>
      </c>
      <c r="B258" s="194"/>
      <c r="C258" s="194"/>
      <c r="D258" s="194"/>
      <c r="E258" s="194"/>
      <c r="F258" s="194"/>
      <c r="G258" s="194"/>
      <c r="H258" s="194"/>
      <c r="I258" s="194"/>
      <c r="J258" s="194"/>
      <c r="K258" s="194"/>
      <c r="L258" s="194"/>
      <c r="M258" s="194"/>
      <c r="O258" s="195" t="s">
        <v>406</v>
      </c>
      <c r="P258" s="195"/>
    </row>
    <row r="259" spans="1:12" ht="9" customHeight="1">
      <c r="A259" s="19"/>
      <c r="B259" s="15"/>
      <c r="C259" s="15"/>
      <c r="D259" s="15"/>
      <c r="E259" s="15"/>
      <c r="F259" s="15"/>
      <c r="G259" s="15"/>
      <c r="H259" s="15"/>
      <c r="I259" s="15"/>
      <c r="J259" s="9"/>
      <c r="K259" s="9"/>
      <c r="L259" s="5"/>
    </row>
    <row r="260" spans="1:12" ht="15.75" customHeight="1">
      <c r="A260" s="32" t="s">
        <v>407</v>
      </c>
      <c r="B260" s="15"/>
      <c r="C260" s="15"/>
      <c r="D260" s="15"/>
      <c r="E260" s="15"/>
      <c r="F260" s="15"/>
      <c r="G260" s="15"/>
      <c r="H260" s="15"/>
      <c r="I260" s="15"/>
      <c r="J260" s="9"/>
      <c r="K260" s="9"/>
      <c r="L260" s="15"/>
    </row>
    <row r="261" spans="1:12" ht="18.75" customHeight="1">
      <c r="A261" s="32" t="s">
        <v>408</v>
      </c>
      <c r="B261" s="15"/>
      <c r="C261" s="15"/>
      <c r="D261" s="15"/>
      <c r="E261" s="15"/>
      <c r="F261" s="15"/>
      <c r="G261" s="15"/>
      <c r="H261" s="15"/>
      <c r="I261" s="15"/>
      <c r="J261" s="9"/>
      <c r="K261" s="9"/>
      <c r="L261" s="15"/>
    </row>
    <row r="262" spans="1:12" ht="20.25">
      <c r="A262" s="19"/>
      <c r="B262" s="15"/>
      <c r="C262" s="15"/>
      <c r="D262" s="15"/>
      <c r="E262" s="15"/>
      <c r="F262" s="15"/>
      <c r="G262" s="15"/>
      <c r="H262" s="15"/>
      <c r="I262" s="15"/>
      <c r="J262" s="9"/>
      <c r="K262" s="9"/>
      <c r="L262" s="15"/>
    </row>
  </sheetData>
  <sheetProtection/>
  <autoFilter ref="A6:M256"/>
  <mergeCells count="11">
    <mergeCell ref="A174:A175"/>
    <mergeCell ref="A1:P1"/>
    <mergeCell ref="A2:P2"/>
    <mergeCell ref="A3:P3"/>
    <mergeCell ref="A4:P4"/>
    <mergeCell ref="A258:M258"/>
    <mergeCell ref="O258:P258"/>
    <mergeCell ref="A234:A235"/>
    <mergeCell ref="A5:P5"/>
    <mergeCell ref="A101:A102"/>
    <mergeCell ref="A99:A100"/>
  </mergeCells>
  <printOptions/>
  <pageMargins left="0.1968503937007874" right="0.1968503937007874" top="0.3937007874015748" bottom="0.3937007874015748" header="0" footer="0"/>
  <pageSetup fitToHeight="0" horizontalDpi="600" verticalDpi="600" orientation="landscape" paperSize="9" scale="94" r:id="rId1"/>
  <headerFooter>
    <oddFooter>&amp;R&amp;P</oddFooter>
  </headerFooter>
  <rowBreaks count="1" manualBreakCount="1">
    <brk id="244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36"/>
  <sheetViews>
    <sheetView tabSelected="1" view="pageBreakPreview" zoomScale="106" zoomScaleNormal="87" zoomScaleSheetLayoutView="106" workbookViewId="0" topLeftCell="A1">
      <selection activeCell="A2" sqref="A2:P3"/>
    </sheetView>
  </sheetViews>
  <sheetFormatPr defaultColWidth="9.33203125" defaultRowHeight="12.75"/>
  <cols>
    <col min="1" max="1" width="54" style="20" customWidth="1"/>
    <col min="2" max="2" width="4.16015625" style="22" customWidth="1"/>
    <col min="3" max="3" width="4.33203125" style="22" customWidth="1"/>
    <col min="4" max="4" width="4.5" style="22" customWidth="1"/>
    <col min="5" max="5" width="4.16015625" style="22" customWidth="1"/>
    <col min="6" max="6" width="4.83203125" style="22" customWidth="1"/>
    <col min="7" max="7" width="4" style="22" customWidth="1"/>
    <col min="8" max="8" width="6.66015625" style="22" customWidth="1"/>
    <col min="9" max="9" width="4.33203125" style="22" customWidth="1"/>
    <col min="10" max="10" width="10.66015625" style="1" customWidth="1"/>
    <col min="11" max="11" width="7.16015625" style="1" customWidth="1"/>
    <col min="12" max="12" width="6.66015625" style="1" customWidth="1"/>
    <col min="13" max="13" width="17.16015625" style="14" customWidth="1"/>
    <col min="14" max="15" width="17.33203125" style="11" customWidth="1"/>
    <col min="16" max="16" width="7.5" style="11" customWidth="1"/>
    <col min="17" max="16384" width="9.33203125" style="11" customWidth="1"/>
  </cols>
  <sheetData>
    <row r="1" spans="1:16" ht="18.75">
      <c r="A1" s="202" t="s">
        <v>395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6" ht="18.75" customHeight="1">
      <c r="A2" s="202" t="s">
        <v>434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</row>
    <row r="3" spans="1:16" ht="18.75" customHeight="1">
      <c r="A3" s="202" t="s">
        <v>398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16" ht="16.5" customHeight="1">
      <c r="A4" s="201" t="s">
        <v>394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</row>
    <row r="5" spans="1:20" ht="60" customHeight="1">
      <c r="A5" s="59" t="s">
        <v>386</v>
      </c>
      <c r="B5" s="31" t="s">
        <v>387</v>
      </c>
      <c r="C5" s="31" t="s">
        <v>1</v>
      </c>
      <c r="D5" s="31" t="s">
        <v>180</v>
      </c>
      <c r="E5" s="31" t="s">
        <v>2</v>
      </c>
      <c r="F5" s="31" t="s">
        <v>3</v>
      </c>
      <c r="G5" s="31" t="s">
        <v>4</v>
      </c>
      <c r="H5" s="31" t="s">
        <v>5</v>
      </c>
      <c r="I5" s="31" t="s">
        <v>6</v>
      </c>
      <c r="J5" s="31" t="s">
        <v>388</v>
      </c>
      <c r="K5" s="31" t="s">
        <v>389</v>
      </c>
      <c r="L5" s="31" t="s">
        <v>56</v>
      </c>
      <c r="M5" s="59" t="s">
        <v>390</v>
      </c>
      <c r="N5" s="59" t="s">
        <v>391</v>
      </c>
      <c r="O5" s="59" t="s">
        <v>392</v>
      </c>
      <c r="P5" s="31" t="s">
        <v>393</v>
      </c>
      <c r="Q5" s="14"/>
      <c r="R5" s="14"/>
      <c r="S5" s="14"/>
      <c r="T5" s="14"/>
    </row>
    <row r="6" spans="1:20" ht="16.5" customHeight="1">
      <c r="A6" s="33" t="s">
        <v>7</v>
      </c>
      <c r="B6" s="7" t="s">
        <v>8</v>
      </c>
      <c r="C6" s="7" t="s">
        <v>9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36">
        <v>13</v>
      </c>
      <c r="N6" s="35">
        <v>14</v>
      </c>
      <c r="O6" s="35">
        <v>15</v>
      </c>
      <c r="P6" s="35">
        <v>16</v>
      </c>
      <c r="Q6" s="14"/>
      <c r="R6" s="14"/>
      <c r="S6" s="14"/>
      <c r="T6" s="14"/>
    </row>
    <row r="7" spans="1:20" ht="24" customHeight="1">
      <c r="A7" s="60" t="s">
        <v>74</v>
      </c>
      <c r="B7" s="65"/>
      <c r="C7" s="65"/>
      <c r="D7" s="65"/>
      <c r="E7" s="65"/>
      <c r="F7" s="65"/>
      <c r="G7" s="65"/>
      <c r="H7" s="65"/>
      <c r="I7" s="65"/>
      <c r="J7" s="112"/>
      <c r="K7" s="112"/>
      <c r="L7" s="113"/>
      <c r="M7" s="114">
        <f>M9+M18+M76+M92+M109+M128+M229+M314+M303</f>
        <v>823594986.75</v>
      </c>
      <c r="N7" s="114">
        <f>N9+N18+N76+N92+N109+N128+N229+N314+N303</f>
        <v>261474841.33999997</v>
      </c>
      <c r="O7" s="114">
        <f>O9+O18+O76+O92+O109+O128+O229+O314+O303</f>
        <v>489212047.72</v>
      </c>
      <c r="P7" s="61">
        <f>O7/M7*100</f>
        <v>59.39959028289945</v>
      </c>
      <c r="Q7" s="14"/>
      <c r="R7" s="14"/>
      <c r="S7" s="14"/>
      <c r="T7" s="14"/>
    </row>
    <row r="8" spans="1:20" ht="12.75">
      <c r="A8" s="62" t="s">
        <v>55</v>
      </c>
      <c r="B8" s="63"/>
      <c r="C8" s="63"/>
      <c r="D8" s="63"/>
      <c r="E8" s="63"/>
      <c r="F8" s="63"/>
      <c r="G8" s="63"/>
      <c r="H8" s="63"/>
      <c r="I8" s="63"/>
      <c r="J8" s="113"/>
      <c r="K8" s="113"/>
      <c r="L8" s="113"/>
      <c r="M8" s="64"/>
      <c r="N8" s="64"/>
      <c r="O8" s="64"/>
      <c r="P8" s="61"/>
      <c r="Q8" s="14"/>
      <c r="R8" s="14"/>
      <c r="S8" s="14"/>
      <c r="T8" s="14"/>
    </row>
    <row r="9" spans="1:20" ht="37.5" customHeight="1">
      <c r="A9" s="60" t="s">
        <v>133</v>
      </c>
      <c r="B9" s="115" t="s">
        <v>17</v>
      </c>
      <c r="C9" s="65"/>
      <c r="D9" s="65"/>
      <c r="E9" s="63"/>
      <c r="F9" s="63"/>
      <c r="G9" s="63"/>
      <c r="H9" s="63"/>
      <c r="I9" s="63"/>
      <c r="J9" s="116"/>
      <c r="K9" s="116"/>
      <c r="L9" s="116"/>
      <c r="M9" s="117">
        <f>M11</f>
        <v>3000000</v>
      </c>
      <c r="N9" s="117">
        <f>N11</f>
        <v>1165173</v>
      </c>
      <c r="O9" s="117">
        <f>O11</f>
        <v>3000000</v>
      </c>
      <c r="P9" s="61">
        <f aca="true" t="shared" si="0" ref="P9:P71">O9/M9*100</f>
        <v>100</v>
      </c>
      <c r="Q9" s="14"/>
      <c r="R9" s="14"/>
      <c r="S9" s="14"/>
      <c r="T9" s="14"/>
    </row>
    <row r="10" spans="1:20" ht="48" customHeight="1">
      <c r="A10" s="60" t="s">
        <v>193</v>
      </c>
      <c r="B10" s="115" t="s">
        <v>17</v>
      </c>
      <c r="C10" s="65">
        <v>0</v>
      </c>
      <c r="D10" s="65">
        <v>51</v>
      </c>
      <c r="E10" s="63"/>
      <c r="F10" s="63"/>
      <c r="G10" s="63"/>
      <c r="H10" s="63"/>
      <c r="I10" s="63"/>
      <c r="J10" s="116"/>
      <c r="K10" s="116"/>
      <c r="L10" s="116"/>
      <c r="M10" s="117">
        <f>M11</f>
        <v>3000000</v>
      </c>
      <c r="N10" s="117">
        <f>N11</f>
        <v>1165173</v>
      </c>
      <c r="O10" s="117">
        <f>O11</f>
        <v>3000000</v>
      </c>
      <c r="P10" s="61">
        <f t="shared" si="0"/>
        <v>100</v>
      </c>
      <c r="Q10" s="14"/>
      <c r="R10" s="14"/>
      <c r="S10" s="14"/>
      <c r="T10" s="14"/>
    </row>
    <row r="11" spans="1:20" ht="24" customHeight="1">
      <c r="A11" s="60" t="s">
        <v>134</v>
      </c>
      <c r="B11" s="115" t="s">
        <v>17</v>
      </c>
      <c r="C11" s="65">
        <v>0</v>
      </c>
      <c r="D11" s="65">
        <v>51</v>
      </c>
      <c r="E11" s="65">
        <v>808</v>
      </c>
      <c r="F11" s="65"/>
      <c r="G11" s="65"/>
      <c r="H11" s="65"/>
      <c r="I11" s="65"/>
      <c r="J11" s="118"/>
      <c r="K11" s="116"/>
      <c r="L11" s="116"/>
      <c r="M11" s="117">
        <f>M13</f>
        <v>3000000</v>
      </c>
      <c r="N11" s="117">
        <f>N13</f>
        <v>1165173</v>
      </c>
      <c r="O11" s="117">
        <f>O13</f>
        <v>3000000</v>
      </c>
      <c r="P11" s="61">
        <f t="shared" si="0"/>
        <v>100</v>
      </c>
      <c r="Q11" s="14"/>
      <c r="R11" s="14"/>
      <c r="S11" s="14"/>
      <c r="T11" s="14"/>
    </row>
    <row r="12" spans="1:20" ht="15.75" customHeight="1">
      <c r="A12" s="60" t="s">
        <v>138</v>
      </c>
      <c r="B12" s="65" t="s">
        <v>17</v>
      </c>
      <c r="C12" s="65">
        <v>0</v>
      </c>
      <c r="D12" s="65">
        <v>51</v>
      </c>
      <c r="E12" s="65" t="s">
        <v>136</v>
      </c>
      <c r="F12" s="65" t="s">
        <v>137</v>
      </c>
      <c r="G12" s="65"/>
      <c r="H12" s="65"/>
      <c r="I12" s="65"/>
      <c r="J12" s="118"/>
      <c r="K12" s="116"/>
      <c r="L12" s="116"/>
      <c r="M12" s="117">
        <f>M13</f>
        <v>3000000</v>
      </c>
      <c r="N12" s="117">
        <f aca="true" t="shared" si="1" ref="N12:O15">N13</f>
        <v>1165173</v>
      </c>
      <c r="O12" s="117">
        <f t="shared" si="1"/>
        <v>3000000</v>
      </c>
      <c r="P12" s="61">
        <f t="shared" si="0"/>
        <v>100</v>
      </c>
      <c r="Q12" s="14"/>
      <c r="R12" s="14"/>
      <c r="S12" s="14"/>
      <c r="T12" s="14"/>
    </row>
    <row r="13" spans="1:20" ht="15.75" customHeight="1">
      <c r="A13" s="60" t="s">
        <v>135</v>
      </c>
      <c r="B13" s="65" t="s">
        <v>17</v>
      </c>
      <c r="C13" s="65">
        <v>0</v>
      </c>
      <c r="D13" s="65">
        <v>51</v>
      </c>
      <c r="E13" s="65" t="s">
        <v>136</v>
      </c>
      <c r="F13" s="65" t="s">
        <v>137</v>
      </c>
      <c r="G13" s="65" t="s">
        <v>15</v>
      </c>
      <c r="H13" s="65" t="s">
        <v>0</v>
      </c>
      <c r="I13" s="65"/>
      <c r="J13" s="118"/>
      <c r="K13" s="116"/>
      <c r="L13" s="116"/>
      <c r="M13" s="117">
        <f>M14</f>
        <v>3000000</v>
      </c>
      <c r="N13" s="117">
        <f t="shared" si="1"/>
        <v>1165173</v>
      </c>
      <c r="O13" s="117">
        <f t="shared" si="1"/>
        <v>3000000</v>
      </c>
      <c r="P13" s="61">
        <f t="shared" si="0"/>
        <v>100</v>
      </c>
      <c r="Q13" s="14"/>
      <c r="R13" s="14"/>
      <c r="S13" s="14"/>
      <c r="T13" s="14"/>
    </row>
    <row r="14" spans="1:20" ht="24" customHeight="1">
      <c r="A14" s="60" t="s">
        <v>75</v>
      </c>
      <c r="B14" s="65" t="s">
        <v>17</v>
      </c>
      <c r="C14" s="65">
        <v>0</v>
      </c>
      <c r="D14" s="65">
        <v>51</v>
      </c>
      <c r="E14" s="65" t="s">
        <v>136</v>
      </c>
      <c r="F14" s="65" t="s">
        <v>137</v>
      </c>
      <c r="G14" s="65" t="s">
        <v>15</v>
      </c>
      <c r="H14" s="65">
        <v>12800</v>
      </c>
      <c r="I14" s="65" t="s">
        <v>76</v>
      </c>
      <c r="J14" s="118"/>
      <c r="K14" s="118"/>
      <c r="L14" s="116"/>
      <c r="M14" s="117">
        <f>M15</f>
        <v>3000000</v>
      </c>
      <c r="N14" s="117">
        <f t="shared" si="1"/>
        <v>1165173</v>
      </c>
      <c r="O14" s="117">
        <f t="shared" si="1"/>
        <v>3000000</v>
      </c>
      <c r="P14" s="61">
        <f t="shared" si="0"/>
        <v>100</v>
      </c>
      <c r="Q14" s="14"/>
      <c r="R14" s="14"/>
      <c r="S14" s="14"/>
      <c r="T14" s="14"/>
    </row>
    <row r="15" spans="1:20" ht="12.75">
      <c r="A15" s="119" t="s">
        <v>68</v>
      </c>
      <c r="B15" s="120"/>
      <c r="C15" s="121"/>
      <c r="D15" s="121"/>
      <c r="E15" s="120"/>
      <c r="F15" s="120"/>
      <c r="G15" s="120"/>
      <c r="H15" s="120"/>
      <c r="I15" s="120"/>
      <c r="J15" s="122"/>
      <c r="K15" s="122"/>
      <c r="L15" s="122"/>
      <c r="M15" s="123">
        <f>M16</f>
        <v>3000000</v>
      </c>
      <c r="N15" s="123">
        <f t="shared" si="1"/>
        <v>1165173</v>
      </c>
      <c r="O15" s="123">
        <f t="shared" si="1"/>
        <v>3000000</v>
      </c>
      <c r="P15" s="61">
        <f t="shared" si="0"/>
        <v>100</v>
      </c>
      <c r="Q15" s="14"/>
      <c r="R15" s="14"/>
      <c r="S15" s="14"/>
      <c r="T15" s="14"/>
    </row>
    <row r="16" spans="1:20" ht="16.5" customHeight="1">
      <c r="A16" s="120" t="s">
        <v>159</v>
      </c>
      <c r="B16" s="120" t="s">
        <v>17</v>
      </c>
      <c r="C16" s="121" t="s">
        <v>140</v>
      </c>
      <c r="D16" s="121" t="s">
        <v>194</v>
      </c>
      <c r="E16" s="120" t="s">
        <v>136</v>
      </c>
      <c r="F16" s="120" t="s">
        <v>137</v>
      </c>
      <c r="G16" s="120" t="s">
        <v>15</v>
      </c>
      <c r="H16" s="120">
        <v>12800</v>
      </c>
      <c r="I16" s="120" t="s">
        <v>76</v>
      </c>
      <c r="J16" s="122" t="s">
        <v>139</v>
      </c>
      <c r="K16" s="122">
        <v>3600</v>
      </c>
      <c r="L16" s="122">
        <v>2017</v>
      </c>
      <c r="M16" s="124">
        <v>3000000</v>
      </c>
      <c r="N16" s="64">
        <f>3000000-1834827</f>
        <v>1165173</v>
      </c>
      <c r="O16" s="64">
        <v>3000000</v>
      </c>
      <c r="P16" s="66">
        <f t="shared" si="0"/>
        <v>100</v>
      </c>
      <c r="Q16" s="14"/>
      <c r="R16" s="14"/>
      <c r="S16" s="14"/>
      <c r="T16" s="14"/>
    </row>
    <row r="17" spans="1:20" ht="24" customHeight="1">
      <c r="A17" s="125" t="s">
        <v>234</v>
      </c>
      <c r="B17" s="120"/>
      <c r="C17" s="121"/>
      <c r="D17" s="121"/>
      <c r="E17" s="120"/>
      <c r="F17" s="120"/>
      <c r="G17" s="120"/>
      <c r="H17" s="120"/>
      <c r="I17" s="120"/>
      <c r="J17" s="122"/>
      <c r="K17" s="122"/>
      <c r="L17" s="122"/>
      <c r="M17" s="126">
        <v>1834827</v>
      </c>
      <c r="N17" s="67">
        <v>0</v>
      </c>
      <c r="O17" s="67">
        <v>1834827</v>
      </c>
      <c r="P17" s="69">
        <f t="shared" si="0"/>
        <v>100</v>
      </c>
      <c r="Q17" s="14"/>
      <c r="R17" s="14"/>
      <c r="S17" s="14"/>
      <c r="T17" s="14"/>
    </row>
    <row r="18" spans="1:20" ht="35.25" customHeight="1">
      <c r="A18" s="60" t="s">
        <v>98</v>
      </c>
      <c r="B18" s="65">
        <v>12</v>
      </c>
      <c r="C18" s="65"/>
      <c r="D18" s="65"/>
      <c r="E18" s="63"/>
      <c r="F18" s="63"/>
      <c r="G18" s="63"/>
      <c r="H18" s="63"/>
      <c r="I18" s="63"/>
      <c r="J18" s="113"/>
      <c r="K18" s="127"/>
      <c r="L18" s="113"/>
      <c r="M18" s="117">
        <f aca="true" t="shared" si="2" ref="M18:O24">M19</f>
        <v>65356300</v>
      </c>
      <c r="N18" s="117">
        <f t="shared" si="2"/>
        <v>2343391</v>
      </c>
      <c r="O18" s="117">
        <f t="shared" si="2"/>
        <v>14875324</v>
      </c>
      <c r="P18" s="61">
        <f t="shared" si="0"/>
        <v>22.760352100715618</v>
      </c>
      <c r="Q18" s="14"/>
      <c r="R18" s="14"/>
      <c r="S18" s="14"/>
      <c r="T18" s="14"/>
    </row>
    <row r="19" spans="1:20" ht="18.75" customHeight="1">
      <c r="A19" s="60" t="s">
        <v>102</v>
      </c>
      <c r="B19" s="65">
        <v>12</v>
      </c>
      <c r="C19" s="65">
        <v>1</v>
      </c>
      <c r="D19" s="65"/>
      <c r="E19" s="63"/>
      <c r="F19" s="63"/>
      <c r="G19" s="63"/>
      <c r="H19" s="63"/>
      <c r="I19" s="63"/>
      <c r="J19" s="113"/>
      <c r="K19" s="127"/>
      <c r="L19" s="113"/>
      <c r="M19" s="117">
        <f>M21</f>
        <v>65356300</v>
      </c>
      <c r="N19" s="117">
        <f>N21</f>
        <v>2343391</v>
      </c>
      <c r="O19" s="117">
        <f>O21</f>
        <v>14875324</v>
      </c>
      <c r="P19" s="61">
        <f t="shared" si="0"/>
        <v>22.760352100715618</v>
      </c>
      <c r="Q19" s="14"/>
      <c r="R19" s="14"/>
      <c r="S19" s="14"/>
      <c r="T19" s="14"/>
    </row>
    <row r="20" spans="1:20" ht="47.25" customHeight="1">
      <c r="A20" s="60" t="s">
        <v>195</v>
      </c>
      <c r="B20" s="65">
        <v>12</v>
      </c>
      <c r="C20" s="65">
        <v>1</v>
      </c>
      <c r="D20" s="65">
        <v>41</v>
      </c>
      <c r="E20" s="63"/>
      <c r="F20" s="63"/>
      <c r="G20" s="63"/>
      <c r="H20" s="63"/>
      <c r="I20" s="63"/>
      <c r="J20" s="113"/>
      <c r="K20" s="127"/>
      <c r="L20" s="113"/>
      <c r="M20" s="117">
        <f>M21</f>
        <v>65356300</v>
      </c>
      <c r="N20" s="117">
        <f>N21</f>
        <v>2343391</v>
      </c>
      <c r="O20" s="117">
        <f>O21</f>
        <v>14875324</v>
      </c>
      <c r="P20" s="61">
        <f t="shared" si="0"/>
        <v>22.760352100715618</v>
      </c>
      <c r="Q20" s="14"/>
      <c r="R20" s="14"/>
      <c r="S20" s="14"/>
      <c r="T20" s="14"/>
    </row>
    <row r="21" spans="1:20" ht="28.5" customHeight="1">
      <c r="A21" s="60" t="s">
        <v>99</v>
      </c>
      <c r="B21" s="65">
        <v>12</v>
      </c>
      <c r="C21" s="65">
        <v>1</v>
      </c>
      <c r="D21" s="65">
        <v>41</v>
      </c>
      <c r="E21" s="65">
        <v>812</v>
      </c>
      <c r="F21" s="63"/>
      <c r="G21" s="63"/>
      <c r="H21" s="63"/>
      <c r="I21" s="63"/>
      <c r="J21" s="113"/>
      <c r="K21" s="127"/>
      <c r="L21" s="113"/>
      <c r="M21" s="117">
        <f t="shared" si="2"/>
        <v>65356300</v>
      </c>
      <c r="N21" s="117">
        <f t="shared" si="2"/>
        <v>2343391</v>
      </c>
      <c r="O21" s="117">
        <f t="shared" si="2"/>
        <v>14875324</v>
      </c>
      <c r="P21" s="61">
        <f t="shared" si="0"/>
        <v>22.760352100715618</v>
      </c>
      <c r="Q21" s="14"/>
      <c r="R21" s="14"/>
      <c r="S21" s="14"/>
      <c r="T21" s="14"/>
    </row>
    <row r="22" spans="1:20" ht="15" customHeight="1">
      <c r="A22" s="60" t="s">
        <v>23</v>
      </c>
      <c r="B22" s="65">
        <v>12</v>
      </c>
      <c r="C22" s="65">
        <v>1</v>
      </c>
      <c r="D22" s="65">
        <v>41</v>
      </c>
      <c r="E22" s="65">
        <v>812</v>
      </c>
      <c r="F22" s="115" t="s">
        <v>15</v>
      </c>
      <c r="G22" s="115" t="s">
        <v>13</v>
      </c>
      <c r="H22" s="63"/>
      <c r="I22" s="63"/>
      <c r="J22" s="113"/>
      <c r="K22" s="127"/>
      <c r="L22" s="113"/>
      <c r="M22" s="117">
        <f t="shared" si="2"/>
        <v>65356300</v>
      </c>
      <c r="N22" s="117">
        <f t="shared" si="2"/>
        <v>2343391</v>
      </c>
      <c r="O22" s="117">
        <f t="shared" si="2"/>
        <v>14875324</v>
      </c>
      <c r="P22" s="61">
        <f t="shared" si="0"/>
        <v>22.760352100715618</v>
      </c>
      <c r="Q22" s="14"/>
      <c r="R22" s="14"/>
      <c r="S22" s="14"/>
      <c r="T22" s="14"/>
    </row>
    <row r="23" spans="1:20" ht="23.25" customHeight="1">
      <c r="A23" s="60" t="s">
        <v>79</v>
      </c>
      <c r="B23" s="65">
        <v>12</v>
      </c>
      <c r="C23" s="65">
        <v>1</v>
      </c>
      <c r="D23" s="65">
        <v>41</v>
      </c>
      <c r="E23" s="65">
        <v>812</v>
      </c>
      <c r="F23" s="115" t="s">
        <v>15</v>
      </c>
      <c r="G23" s="115" t="s">
        <v>13</v>
      </c>
      <c r="H23" s="128" t="s">
        <v>196</v>
      </c>
      <c r="I23" s="65"/>
      <c r="J23" s="113"/>
      <c r="K23" s="127"/>
      <c r="L23" s="113"/>
      <c r="M23" s="117">
        <f t="shared" si="2"/>
        <v>65356300</v>
      </c>
      <c r="N23" s="117">
        <f t="shared" si="2"/>
        <v>2343391</v>
      </c>
      <c r="O23" s="117">
        <f t="shared" si="2"/>
        <v>14875324</v>
      </c>
      <c r="P23" s="61">
        <f t="shared" si="0"/>
        <v>22.760352100715618</v>
      </c>
      <c r="Q23" s="14"/>
      <c r="R23" s="14"/>
      <c r="S23" s="14"/>
      <c r="T23" s="14"/>
    </row>
    <row r="24" spans="1:20" ht="24" customHeight="1">
      <c r="A24" s="60" t="s">
        <v>75</v>
      </c>
      <c r="B24" s="65">
        <v>12</v>
      </c>
      <c r="C24" s="65">
        <v>1</v>
      </c>
      <c r="D24" s="65">
        <v>41</v>
      </c>
      <c r="E24" s="65">
        <v>812</v>
      </c>
      <c r="F24" s="115" t="s">
        <v>15</v>
      </c>
      <c r="G24" s="115" t="s">
        <v>13</v>
      </c>
      <c r="H24" s="128" t="s">
        <v>196</v>
      </c>
      <c r="I24" s="65">
        <v>522</v>
      </c>
      <c r="J24" s="113"/>
      <c r="K24" s="127"/>
      <c r="L24" s="113"/>
      <c r="M24" s="117">
        <f t="shared" si="2"/>
        <v>65356300</v>
      </c>
      <c r="N24" s="117">
        <f t="shared" si="2"/>
        <v>2343391</v>
      </c>
      <c r="O24" s="117">
        <f t="shared" si="2"/>
        <v>14875324</v>
      </c>
      <c r="P24" s="61">
        <f t="shared" si="0"/>
        <v>22.760352100715618</v>
      </c>
      <c r="Q24" s="14"/>
      <c r="R24" s="14"/>
      <c r="S24" s="14"/>
      <c r="T24" s="14"/>
    </row>
    <row r="25" spans="1:20" ht="24.75" customHeight="1">
      <c r="A25" s="60" t="s">
        <v>107</v>
      </c>
      <c r="B25" s="65">
        <v>12</v>
      </c>
      <c r="C25" s="65">
        <v>1</v>
      </c>
      <c r="D25" s="65">
        <v>41</v>
      </c>
      <c r="E25" s="65">
        <v>812</v>
      </c>
      <c r="F25" s="115" t="s">
        <v>15</v>
      </c>
      <c r="G25" s="115" t="s">
        <v>13</v>
      </c>
      <c r="H25" s="128" t="s">
        <v>196</v>
      </c>
      <c r="I25" s="65">
        <v>522</v>
      </c>
      <c r="J25" s="113"/>
      <c r="K25" s="127"/>
      <c r="L25" s="113"/>
      <c r="M25" s="129">
        <f>M26+M34+M37+M42+M45+M47+M55+M63+M67+M71+M73+M75+M33+M49+M53+M58+M65+M51+M61+M30</f>
        <v>65356300</v>
      </c>
      <c r="N25" s="129">
        <f>N26+N34+N37+N42+N45+N47+N55+N63+N67+N71+N73+N75+N33+N49+N53+N58+N65+N51+N61+N30</f>
        <v>2343391</v>
      </c>
      <c r="O25" s="129">
        <f>O26+O34+O37+O42+O45+O47+O55+O63+O67+O71+O73+O75+O33+O49+O53+O58+O65+O51+O61+O30</f>
        <v>14875324</v>
      </c>
      <c r="P25" s="61">
        <f t="shared" si="0"/>
        <v>22.760352100715618</v>
      </c>
      <c r="Q25" s="14"/>
      <c r="R25" s="14"/>
      <c r="S25" s="14"/>
      <c r="T25" s="14"/>
    </row>
    <row r="26" spans="1:20" ht="12.75">
      <c r="A26" s="130" t="s">
        <v>209</v>
      </c>
      <c r="B26" s="65"/>
      <c r="C26" s="65"/>
      <c r="D26" s="65"/>
      <c r="E26" s="65"/>
      <c r="F26" s="115"/>
      <c r="G26" s="115"/>
      <c r="H26" s="128"/>
      <c r="I26" s="65"/>
      <c r="J26" s="113"/>
      <c r="K26" s="127"/>
      <c r="L26" s="113"/>
      <c r="M26" s="129">
        <f>M27+M29</f>
        <v>5351040</v>
      </c>
      <c r="N26" s="129">
        <f>N27+N29</f>
        <v>0</v>
      </c>
      <c r="O26" s="129">
        <f>O27+O29</f>
        <v>3300000</v>
      </c>
      <c r="P26" s="61">
        <f t="shared" si="0"/>
        <v>61.670254754216</v>
      </c>
      <c r="Q26" s="14"/>
      <c r="R26" s="14"/>
      <c r="S26" s="14"/>
      <c r="T26" s="14"/>
    </row>
    <row r="27" spans="1:20" ht="26.25" customHeight="1">
      <c r="A27" s="131" t="s">
        <v>411</v>
      </c>
      <c r="B27" s="132">
        <v>12</v>
      </c>
      <c r="C27" s="132">
        <v>1</v>
      </c>
      <c r="D27" s="132">
        <v>41</v>
      </c>
      <c r="E27" s="132">
        <v>812</v>
      </c>
      <c r="F27" s="133" t="s">
        <v>15</v>
      </c>
      <c r="G27" s="133" t="s">
        <v>13</v>
      </c>
      <c r="H27" s="133" t="s">
        <v>196</v>
      </c>
      <c r="I27" s="132">
        <v>522</v>
      </c>
      <c r="J27" s="113"/>
      <c r="K27" s="127"/>
      <c r="L27" s="113"/>
      <c r="M27" s="40">
        <v>3300000</v>
      </c>
      <c r="N27" s="64">
        <v>0</v>
      </c>
      <c r="O27" s="64">
        <v>3300000</v>
      </c>
      <c r="P27" s="66">
        <f t="shared" si="0"/>
        <v>100</v>
      </c>
      <c r="Q27" s="14"/>
      <c r="R27" s="14"/>
      <c r="S27" s="14"/>
      <c r="T27" s="14"/>
    </row>
    <row r="28" spans="1:20" ht="24" customHeight="1">
      <c r="A28" s="125" t="s">
        <v>200</v>
      </c>
      <c r="B28" s="65"/>
      <c r="C28" s="65"/>
      <c r="D28" s="65"/>
      <c r="E28" s="65"/>
      <c r="F28" s="115"/>
      <c r="G28" s="115"/>
      <c r="H28" s="128"/>
      <c r="I28" s="65"/>
      <c r="J28" s="113"/>
      <c r="K28" s="127"/>
      <c r="L28" s="113"/>
      <c r="M28" s="44">
        <v>3300000</v>
      </c>
      <c r="N28" s="67">
        <v>0</v>
      </c>
      <c r="O28" s="67">
        <v>3300000</v>
      </c>
      <c r="P28" s="66">
        <f t="shared" si="0"/>
        <v>100</v>
      </c>
      <c r="Q28" s="14"/>
      <c r="R28" s="14"/>
      <c r="S28" s="14"/>
      <c r="T28" s="14"/>
    </row>
    <row r="29" spans="1:20" ht="24.75" customHeight="1">
      <c r="A29" s="62" t="s">
        <v>410</v>
      </c>
      <c r="B29" s="132">
        <v>12</v>
      </c>
      <c r="C29" s="132">
        <v>1</v>
      </c>
      <c r="D29" s="132">
        <v>41</v>
      </c>
      <c r="E29" s="132">
        <v>812</v>
      </c>
      <c r="F29" s="133" t="s">
        <v>15</v>
      </c>
      <c r="G29" s="133" t="s">
        <v>13</v>
      </c>
      <c r="H29" s="133" t="s">
        <v>196</v>
      </c>
      <c r="I29" s="132">
        <v>522</v>
      </c>
      <c r="J29" s="68" t="s">
        <v>63</v>
      </c>
      <c r="K29" s="68">
        <v>2.285</v>
      </c>
      <c r="L29" s="113">
        <v>2016</v>
      </c>
      <c r="M29" s="49">
        <v>2051040</v>
      </c>
      <c r="N29" s="64"/>
      <c r="O29" s="64"/>
      <c r="P29" s="66">
        <f t="shared" si="0"/>
        <v>0</v>
      </c>
      <c r="Q29" s="14"/>
      <c r="R29" s="14"/>
      <c r="S29" s="14"/>
      <c r="T29" s="14"/>
    </row>
    <row r="30" spans="1:20" ht="16.5" customHeight="1">
      <c r="A30" s="130" t="s">
        <v>382</v>
      </c>
      <c r="B30" s="134"/>
      <c r="C30" s="65"/>
      <c r="D30" s="65"/>
      <c r="E30" s="65"/>
      <c r="F30" s="115"/>
      <c r="G30" s="115"/>
      <c r="H30" s="128"/>
      <c r="I30" s="65"/>
      <c r="J30" s="113"/>
      <c r="K30" s="127"/>
      <c r="L30" s="113"/>
      <c r="M30" s="129">
        <f>M31</f>
        <v>2582141</v>
      </c>
      <c r="N30" s="129">
        <f>N31</f>
        <v>0</v>
      </c>
      <c r="O30" s="129">
        <f>O31</f>
        <v>0</v>
      </c>
      <c r="P30" s="61">
        <f t="shared" si="0"/>
        <v>0</v>
      </c>
      <c r="Q30" s="14"/>
      <c r="R30" s="14"/>
      <c r="S30" s="14"/>
      <c r="T30" s="14"/>
    </row>
    <row r="31" spans="1:20" ht="24.75" customHeight="1">
      <c r="A31" s="135" t="s">
        <v>409</v>
      </c>
      <c r="B31" s="132">
        <v>12</v>
      </c>
      <c r="C31" s="132">
        <v>1</v>
      </c>
      <c r="D31" s="132">
        <v>41</v>
      </c>
      <c r="E31" s="132">
        <v>812</v>
      </c>
      <c r="F31" s="133" t="s">
        <v>15</v>
      </c>
      <c r="G31" s="133" t="s">
        <v>13</v>
      </c>
      <c r="H31" s="133" t="s">
        <v>196</v>
      </c>
      <c r="I31" s="132">
        <v>522</v>
      </c>
      <c r="J31" s="68" t="s">
        <v>63</v>
      </c>
      <c r="K31" s="136">
        <v>3.08</v>
      </c>
      <c r="L31" s="116">
        <v>2016</v>
      </c>
      <c r="M31" s="40">
        <v>2582141</v>
      </c>
      <c r="N31" s="64"/>
      <c r="O31" s="64"/>
      <c r="P31" s="66">
        <f t="shared" si="0"/>
        <v>0</v>
      </c>
      <c r="Q31" s="14"/>
      <c r="R31" s="14"/>
      <c r="S31" s="14"/>
      <c r="T31" s="14"/>
    </row>
    <row r="32" spans="1:20" ht="15.75" customHeight="1">
      <c r="A32" s="130" t="s">
        <v>360</v>
      </c>
      <c r="B32" s="65"/>
      <c r="C32" s="65"/>
      <c r="D32" s="65"/>
      <c r="E32" s="65"/>
      <c r="F32" s="115"/>
      <c r="G32" s="115"/>
      <c r="H32" s="128"/>
      <c r="I32" s="65"/>
      <c r="J32" s="113"/>
      <c r="K32" s="127"/>
      <c r="L32" s="113"/>
      <c r="M32" s="129">
        <f>M33</f>
        <v>1092414</v>
      </c>
      <c r="N32" s="129">
        <f>N33</f>
        <v>0</v>
      </c>
      <c r="O32" s="129">
        <f>O33</f>
        <v>0</v>
      </c>
      <c r="P32" s="61">
        <f t="shared" si="0"/>
        <v>0</v>
      </c>
      <c r="Q32" s="14"/>
      <c r="R32" s="14"/>
      <c r="S32" s="14"/>
      <c r="T32" s="14"/>
    </row>
    <row r="33" spans="1:20" ht="24" customHeight="1">
      <c r="A33" s="131" t="s">
        <v>361</v>
      </c>
      <c r="B33" s="132">
        <v>12</v>
      </c>
      <c r="C33" s="132">
        <v>1</v>
      </c>
      <c r="D33" s="132">
        <v>41</v>
      </c>
      <c r="E33" s="132">
        <v>812</v>
      </c>
      <c r="F33" s="133" t="s">
        <v>15</v>
      </c>
      <c r="G33" s="133" t="s">
        <v>13</v>
      </c>
      <c r="H33" s="133" t="s">
        <v>196</v>
      </c>
      <c r="I33" s="132">
        <v>522</v>
      </c>
      <c r="J33" s="113" t="s">
        <v>63</v>
      </c>
      <c r="K33" s="127">
        <v>0.821</v>
      </c>
      <c r="L33" s="113">
        <v>2016</v>
      </c>
      <c r="M33" s="40">
        <v>1092414</v>
      </c>
      <c r="N33" s="64"/>
      <c r="O33" s="64"/>
      <c r="P33" s="66">
        <f t="shared" si="0"/>
        <v>0</v>
      </c>
      <c r="Q33" s="14"/>
      <c r="R33" s="14"/>
      <c r="S33" s="14"/>
      <c r="T33" s="14"/>
    </row>
    <row r="34" spans="1:20" ht="15.75" customHeight="1">
      <c r="A34" s="137" t="s">
        <v>210</v>
      </c>
      <c r="B34" s="65"/>
      <c r="C34" s="65"/>
      <c r="D34" s="65"/>
      <c r="E34" s="65"/>
      <c r="F34" s="115"/>
      <c r="G34" s="115"/>
      <c r="H34" s="128"/>
      <c r="I34" s="65"/>
      <c r="J34" s="113"/>
      <c r="K34" s="127"/>
      <c r="L34" s="113"/>
      <c r="M34" s="129">
        <f>M35</f>
        <v>5200000</v>
      </c>
      <c r="N34" s="129">
        <f>N35</f>
        <v>0</v>
      </c>
      <c r="O34" s="129">
        <f>O35</f>
        <v>5200000</v>
      </c>
      <c r="P34" s="61">
        <f t="shared" si="0"/>
        <v>100</v>
      </c>
      <c r="Q34" s="14"/>
      <c r="R34" s="14"/>
      <c r="S34" s="14"/>
      <c r="T34" s="14"/>
    </row>
    <row r="35" spans="1:20" ht="24.75" customHeight="1">
      <c r="A35" s="135" t="s">
        <v>412</v>
      </c>
      <c r="B35" s="132">
        <v>12</v>
      </c>
      <c r="C35" s="132">
        <v>1</v>
      </c>
      <c r="D35" s="132">
        <v>41</v>
      </c>
      <c r="E35" s="132">
        <v>812</v>
      </c>
      <c r="F35" s="133" t="s">
        <v>15</v>
      </c>
      <c r="G35" s="133" t="s">
        <v>13</v>
      </c>
      <c r="H35" s="133" t="s">
        <v>196</v>
      </c>
      <c r="I35" s="132">
        <v>522</v>
      </c>
      <c r="J35" s="113"/>
      <c r="K35" s="127"/>
      <c r="L35" s="113"/>
      <c r="M35" s="40">
        <f>M36</f>
        <v>5200000</v>
      </c>
      <c r="N35" s="64">
        <v>0</v>
      </c>
      <c r="O35" s="64">
        <v>5200000</v>
      </c>
      <c r="P35" s="66">
        <f t="shared" si="0"/>
        <v>100</v>
      </c>
      <c r="Q35" s="14"/>
      <c r="R35" s="14"/>
      <c r="S35" s="14"/>
      <c r="T35" s="14"/>
    </row>
    <row r="36" spans="1:20" ht="24" customHeight="1">
      <c r="A36" s="125" t="s">
        <v>200</v>
      </c>
      <c r="B36" s="65"/>
      <c r="C36" s="65"/>
      <c r="D36" s="65"/>
      <c r="E36" s="65"/>
      <c r="F36" s="115"/>
      <c r="G36" s="115"/>
      <c r="H36" s="128"/>
      <c r="I36" s="65"/>
      <c r="J36" s="113"/>
      <c r="K36" s="127"/>
      <c r="L36" s="113"/>
      <c r="M36" s="44">
        <v>5200000</v>
      </c>
      <c r="N36" s="67">
        <v>0</v>
      </c>
      <c r="O36" s="67">
        <v>5200000</v>
      </c>
      <c r="P36" s="69">
        <f t="shared" si="0"/>
        <v>100</v>
      </c>
      <c r="Q36" s="14"/>
      <c r="R36" s="14"/>
      <c r="S36" s="14"/>
      <c r="T36" s="14"/>
    </row>
    <row r="37" spans="1:20" ht="15" customHeight="1">
      <c r="A37" s="138" t="s">
        <v>213</v>
      </c>
      <c r="B37" s="139"/>
      <c r="C37" s="132"/>
      <c r="D37" s="132"/>
      <c r="E37" s="132"/>
      <c r="F37" s="133"/>
      <c r="G37" s="133"/>
      <c r="H37" s="133"/>
      <c r="I37" s="132"/>
      <c r="J37" s="140"/>
      <c r="K37" s="140"/>
      <c r="L37" s="140"/>
      <c r="M37" s="141">
        <f>M38+M40</f>
        <v>1746082</v>
      </c>
      <c r="N37" s="141">
        <f>N38+N40</f>
        <v>0</v>
      </c>
      <c r="O37" s="141">
        <f>O38+O40</f>
        <v>1746082</v>
      </c>
      <c r="P37" s="61">
        <f t="shared" si="0"/>
        <v>100</v>
      </c>
      <c r="Q37" s="14"/>
      <c r="R37" s="14"/>
      <c r="S37" s="14"/>
      <c r="T37" s="14"/>
    </row>
    <row r="38" spans="1:20" ht="24.75" customHeight="1">
      <c r="A38" s="132" t="s">
        <v>214</v>
      </c>
      <c r="B38" s="132">
        <v>12</v>
      </c>
      <c r="C38" s="132">
        <v>1</v>
      </c>
      <c r="D38" s="132">
        <v>41</v>
      </c>
      <c r="E38" s="132">
        <v>812</v>
      </c>
      <c r="F38" s="133" t="s">
        <v>15</v>
      </c>
      <c r="G38" s="133" t="s">
        <v>13</v>
      </c>
      <c r="H38" s="133" t="s">
        <v>196</v>
      </c>
      <c r="I38" s="132">
        <v>522</v>
      </c>
      <c r="J38" s="140"/>
      <c r="K38" s="140"/>
      <c r="L38" s="140"/>
      <c r="M38" s="142">
        <f>M39</f>
        <v>600000</v>
      </c>
      <c r="N38" s="64">
        <v>0</v>
      </c>
      <c r="O38" s="64">
        <v>600000</v>
      </c>
      <c r="P38" s="66">
        <f t="shared" si="0"/>
        <v>100</v>
      </c>
      <c r="Q38" s="14"/>
      <c r="R38" s="14"/>
      <c r="S38" s="14"/>
      <c r="T38" s="14"/>
    </row>
    <row r="39" spans="1:20" ht="24" customHeight="1">
      <c r="A39" s="125" t="s">
        <v>200</v>
      </c>
      <c r="B39" s="139"/>
      <c r="C39" s="132"/>
      <c r="D39" s="132"/>
      <c r="E39" s="132"/>
      <c r="F39" s="133"/>
      <c r="G39" s="133"/>
      <c r="H39" s="133"/>
      <c r="I39" s="132"/>
      <c r="J39" s="140"/>
      <c r="K39" s="140"/>
      <c r="L39" s="140"/>
      <c r="M39" s="143">
        <v>600000</v>
      </c>
      <c r="N39" s="67">
        <v>0</v>
      </c>
      <c r="O39" s="67">
        <v>600000</v>
      </c>
      <c r="P39" s="69">
        <f t="shared" si="0"/>
        <v>100</v>
      </c>
      <c r="Q39" s="14"/>
      <c r="R39" s="14"/>
      <c r="S39" s="14"/>
      <c r="T39" s="14"/>
    </row>
    <row r="40" spans="1:20" ht="24" customHeight="1">
      <c r="A40" s="132" t="s">
        <v>215</v>
      </c>
      <c r="B40" s="132">
        <v>12</v>
      </c>
      <c r="C40" s="132">
        <v>1</v>
      </c>
      <c r="D40" s="132">
        <v>41</v>
      </c>
      <c r="E40" s="132">
        <v>812</v>
      </c>
      <c r="F40" s="133" t="s">
        <v>15</v>
      </c>
      <c r="G40" s="133" t="s">
        <v>13</v>
      </c>
      <c r="H40" s="133" t="s">
        <v>196</v>
      </c>
      <c r="I40" s="132">
        <v>522</v>
      </c>
      <c r="J40" s="140"/>
      <c r="K40" s="140"/>
      <c r="L40" s="140"/>
      <c r="M40" s="142">
        <f>M41</f>
        <v>1146082</v>
      </c>
      <c r="N40" s="64">
        <v>0</v>
      </c>
      <c r="O40" s="64">
        <v>1146082</v>
      </c>
      <c r="P40" s="66">
        <f t="shared" si="0"/>
        <v>100</v>
      </c>
      <c r="Q40" s="14"/>
      <c r="R40" s="14"/>
      <c r="S40" s="14"/>
      <c r="T40" s="14"/>
    </row>
    <row r="41" spans="1:20" ht="24" customHeight="1">
      <c r="A41" s="125" t="s">
        <v>200</v>
      </c>
      <c r="B41" s="139"/>
      <c r="C41" s="132"/>
      <c r="D41" s="132"/>
      <c r="E41" s="132"/>
      <c r="F41" s="133"/>
      <c r="G41" s="133"/>
      <c r="H41" s="133"/>
      <c r="I41" s="132"/>
      <c r="J41" s="140"/>
      <c r="K41" s="140"/>
      <c r="L41" s="140"/>
      <c r="M41" s="143">
        <v>1146082</v>
      </c>
      <c r="N41" s="67">
        <v>0</v>
      </c>
      <c r="O41" s="67">
        <v>1146082</v>
      </c>
      <c r="P41" s="69">
        <f t="shared" si="0"/>
        <v>100</v>
      </c>
      <c r="Q41" s="14"/>
      <c r="R41" s="14"/>
      <c r="S41" s="14"/>
      <c r="T41" s="14"/>
    </row>
    <row r="42" spans="1:20" ht="12.75">
      <c r="A42" s="144" t="s">
        <v>211</v>
      </c>
      <c r="B42" s="139"/>
      <c r="C42" s="132"/>
      <c r="D42" s="132"/>
      <c r="E42" s="132"/>
      <c r="F42" s="133"/>
      <c r="G42" s="133"/>
      <c r="H42" s="133"/>
      <c r="I42" s="132"/>
      <c r="J42" s="140"/>
      <c r="K42" s="140"/>
      <c r="L42" s="140"/>
      <c r="M42" s="141">
        <f>M43</f>
        <v>1162918</v>
      </c>
      <c r="N42" s="141">
        <f>N43</f>
        <v>0</v>
      </c>
      <c r="O42" s="141">
        <f>O43</f>
        <v>1162918</v>
      </c>
      <c r="P42" s="61">
        <f t="shared" si="0"/>
        <v>100</v>
      </c>
      <c r="Q42" s="14"/>
      <c r="R42" s="14"/>
      <c r="S42" s="14"/>
      <c r="T42" s="14"/>
    </row>
    <row r="43" spans="1:20" ht="24.75" customHeight="1">
      <c r="A43" s="132" t="s">
        <v>212</v>
      </c>
      <c r="B43" s="132">
        <v>12</v>
      </c>
      <c r="C43" s="132">
        <v>1</v>
      </c>
      <c r="D43" s="132">
        <v>41</v>
      </c>
      <c r="E43" s="132">
        <v>812</v>
      </c>
      <c r="F43" s="133" t="s">
        <v>15</v>
      </c>
      <c r="G43" s="133" t="s">
        <v>13</v>
      </c>
      <c r="H43" s="133" t="s">
        <v>196</v>
      </c>
      <c r="I43" s="132">
        <v>522</v>
      </c>
      <c r="J43" s="140"/>
      <c r="K43" s="140"/>
      <c r="L43" s="140"/>
      <c r="M43" s="142">
        <f>M44</f>
        <v>1162918</v>
      </c>
      <c r="N43" s="64">
        <v>0</v>
      </c>
      <c r="O43" s="64">
        <v>1162918</v>
      </c>
      <c r="P43" s="66">
        <f t="shared" si="0"/>
        <v>100</v>
      </c>
      <c r="Q43" s="14"/>
      <c r="R43" s="14"/>
      <c r="S43" s="14"/>
      <c r="T43" s="14"/>
    </row>
    <row r="44" spans="1:20" ht="23.25" customHeight="1">
      <c r="A44" s="125" t="s">
        <v>200</v>
      </c>
      <c r="B44" s="139"/>
      <c r="C44" s="132"/>
      <c r="D44" s="132"/>
      <c r="E44" s="132"/>
      <c r="F44" s="133"/>
      <c r="G44" s="133"/>
      <c r="H44" s="133"/>
      <c r="I44" s="132"/>
      <c r="J44" s="140"/>
      <c r="K44" s="140"/>
      <c r="L44" s="140"/>
      <c r="M44" s="143">
        <v>1162918</v>
      </c>
      <c r="N44" s="67">
        <v>0</v>
      </c>
      <c r="O44" s="67">
        <v>1162918</v>
      </c>
      <c r="P44" s="69">
        <f t="shared" si="0"/>
        <v>100</v>
      </c>
      <c r="Q44" s="14"/>
      <c r="R44" s="14"/>
      <c r="S44" s="14"/>
      <c r="T44" s="14"/>
    </row>
    <row r="45" spans="1:20" ht="12.75">
      <c r="A45" s="144" t="s">
        <v>77</v>
      </c>
      <c r="B45" s="139"/>
      <c r="C45" s="132"/>
      <c r="D45" s="132"/>
      <c r="E45" s="132"/>
      <c r="F45" s="133"/>
      <c r="G45" s="133"/>
      <c r="H45" s="133"/>
      <c r="I45" s="132"/>
      <c r="J45" s="140"/>
      <c r="K45" s="140"/>
      <c r="L45" s="140"/>
      <c r="M45" s="141">
        <f>M46</f>
        <v>3403982</v>
      </c>
      <c r="N45" s="141">
        <f>N46</f>
        <v>0</v>
      </c>
      <c r="O45" s="141">
        <f>O46</f>
        <v>0</v>
      </c>
      <c r="P45" s="61">
        <f t="shared" si="0"/>
        <v>0</v>
      </c>
      <c r="Q45" s="14"/>
      <c r="R45" s="14"/>
      <c r="S45" s="14"/>
      <c r="T45" s="14"/>
    </row>
    <row r="46" spans="1:20" ht="35.25" customHeight="1">
      <c r="A46" s="135" t="s">
        <v>288</v>
      </c>
      <c r="B46" s="132">
        <v>12</v>
      </c>
      <c r="C46" s="132">
        <v>1</v>
      </c>
      <c r="D46" s="132">
        <v>41</v>
      </c>
      <c r="E46" s="132">
        <v>812</v>
      </c>
      <c r="F46" s="133" t="s">
        <v>15</v>
      </c>
      <c r="G46" s="133" t="s">
        <v>13</v>
      </c>
      <c r="H46" s="133" t="s">
        <v>196</v>
      </c>
      <c r="I46" s="132">
        <v>522</v>
      </c>
      <c r="J46" s="145" t="s">
        <v>289</v>
      </c>
      <c r="K46" s="145" t="s">
        <v>290</v>
      </c>
      <c r="L46" s="140">
        <v>2016</v>
      </c>
      <c r="M46" s="142">
        <v>3403982</v>
      </c>
      <c r="N46" s="64"/>
      <c r="O46" s="64"/>
      <c r="P46" s="66">
        <f t="shared" si="0"/>
        <v>0</v>
      </c>
      <c r="Q46" s="14"/>
      <c r="R46" s="14"/>
      <c r="S46" s="14"/>
      <c r="T46" s="14"/>
    </row>
    <row r="47" spans="1:20" ht="16.5" customHeight="1">
      <c r="A47" s="144" t="s">
        <v>69</v>
      </c>
      <c r="B47" s="139"/>
      <c r="C47" s="132"/>
      <c r="D47" s="132"/>
      <c r="E47" s="132"/>
      <c r="F47" s="133"/>
      <c r="G47" s="133"/>
      <c r="H47" s="133"/>
      <c r="I47" s="132"/>
      <c r="J47" s="140"/>
      <c r="K47" s="140"/>
      <c r="L47" s="140"/>
      <c r="M47" s="141">
        <f>M48</f>
        <v>3129192</v>
      </c>
      <c r="N47" s="141">
        <f>N48</f>
        <v>0</v>
      </c>
      <c r="O47" s="141">
        <f>O48</f>
        <v>0</v>
      </c>
      <c r="P47" s="61">
        <f t="shared" si="0"/>
        <v>0</v>
      </c>
      <c r="Q47" s="14"/>
      <c r="R47" s="14"/>
      <c r="S47" s="14"/>
      <c r="T47" s="14"/>
    </row>
    <row r="48" spans="1:20" ht="27" customHeight="1">
      <c r="A48" s="135" t="s">
        <v>291</v>
      </c>
      <c r="B48" s="132">
        <v>12</v>
      </c>
      <c r="C48" s="132">
        <v>1</v>
      </c>
      <c r="D48" s="132">
        <v>41</v>
      </c>
      <c r="E48" s="132">
        <v>812</v>
      </c>
      <c r="F48" s="133" t="s">
        <v>15</v>
      </c>
      <c r="G48" s="133" t="s">
        <v>13</v>
      </c>
      <c r="H48" s="133" t="s">
        <v>196</v>
      </c>
      <c r="I48" s="132">
        <v>522</v>
      </c>
      <c r="J48" s="146" t="s">
        <v>303</v>
      </c>
      <c r="K48" s="146" t="s">
        <v>292</v>
      </c>
      <c r="L48" s="140">
        <v>2016</v>
      </c>
      <c r="M48" s="142">
        <v>3129192</v>
      </c>
      <c r="N48" s="64"/>
      <c r="O48" s="64"/>
      <c r="P48" s="66">
        <f t="shared" si="0"/>
        <v>0</v>
      </c>
      <c r="Q48" s="14"/>
      <c r="R48" s="14"/>
      <c r="S48" s="14"/>
      <c r="T48" s="14"/>
    </row>
    <row r="49" spans="1:20" ht="16.5" customHeight="1">
      <c r="A49" s="144" t="s">
        <v>163</v>
      </c>
      <c r="B49" s="132"/>
      <c r="C49" s="132"/>
      <c r="D49" s="132"/>
      <c r="E49" s="132"/>
      <c r="F49" s="133"/>
      <c r="G49" s="133"/>
      <c r="H49" s="133"/>
      <c r="I49" s="132"/>
      <c r="J49" s="146"/>
      <c r="K49" s="146"/>
      <c r="L49" s="140"/>
      <c r="M49" s="141">
        <f>M50</f>
        <v>447383</v>
      </c>
      <c r="N49" s="141">
        <f>N50</f>
        <v>0</v>
      </c>
      <c r="O49" s="141">
        <f>O50</f>
        <v>0</v>
      </c>
      <c r="P49" s="61">
        <f t="shared" si="0"/>
        <v>0</v>
      </c>
      <c r="Q49" s="14"/>
      <c r="R49" s="14"/>
      <c r="S49" s="14"/>
      <c r="T49" s="14"/>
    </row>
    <row r="50" spans="1:20" ht="23.25" customHeight="1">
      <c r="A50" s="135" t="s">
        <v>362</v>
      </c>
      <c r="B50" s="132">
        <v>12</v>
      </c>
      <c r="C50" s="132">
        <v>1</v>
      </c>
      <c r="D50" s="132">
        <v>41</v>
      </c>
      <c r="E50" s="132">
        <v>812</v>
      </c>
      <c r="F50" s="133" t="s">
        <v>15</v>
      </c>
      <c r="G50" s="133" t="s">
        <v>13</v>
      </c>
      <c r="H50" s="133" t="s">
        <v>196</v>
      </c>
      <c r="I50" s="132">
        <v>522</v>
      </c>
      <c r="J50" s="146" t="s">
        <v>63</v>
      </c>
      <c r="K50" s="146">
        <v>0.701</v>
      </c>
      <c r="L50" s="140">
        <v>2016</v>
      </c>
      <c r="M50" s="142">
        <v>447383</v>
      </c>
      <c r="N50" s="64"/>
      <c r="O50" s="64"/>
      <c r="P50" s="66">
        <f t="shared" si="0"/>
        <v>0</v>
      </c>
      <c r="Q50" s="14"/>
      <c r="R50" s="14"/>
      <c r="S50" s="14"/>
      <c r="T50" s="14"/>
    </row>
    <row r="51" spans="1:20" ht="15" customHeight="1">
      <c r="A51" s="144" t="s">
        <v>66</v>
      </c>
      <c r="B51" s="132"/>
      <c r="C51" s="132"/>
      <c r="D51" s="132"/>
      <c r="E51" s="132"/>
      <c r="F51" s="133"/>
      <c r="G51" s="133"/>
      <c r="H51" s="133"/>
      <c r="I51" s="132"/>
      <c r="J51" s="146"/>
      <c r="K51" s="146"/>
      <c r="L51" s="140"/>
      <c r="M51" s="141">
        <f>M52</f>
        <v>2059562</v>
      </c>
      <c r="N51" s="141">
        <f>N52</f>
        <v>0</v>
      </c>
      <c r="O51" s="141">
        <f>O52</f>
        <v>0</v>
      </c>
      <c r="P51" s="61">
        <f t="shared" si="0"/>
        <v>0</v>
      </c>
      <c r="Q51" s="14"/>
      <c r="R51" s="14"/>
      <c r="S51" s="14"/>
      <c r="T51" s="14"/>
    </row>
    <row r="52" spans="1:20" ht="25.5" customHeight="1">
      <c r="A52" s="62" t="s">
        <v>413</v>
      </c>
      <c r="B52" s="132">
        <v>12</v>
      </c>
      <c r="C52" s="132">
        <v>1</v>
      </c>
      <c r="D52" s="132">
        <v>41</v>
      </c>
      <c r="E52" s="132">
        <v>812</v>
      </c>
      <c r="F52" s="133" t="s">
        <v>15</v>
      </c>
      <c r="G52" s="133" t="s">
        <v>13</v>
      </c>
      <c r="H52" s="133" t="s">
        <v>196</v>
      </c>
      <c r="I52" s="132">
        <v>522</v>
      </c>
      <c r="J52" s="146" t="s">
        <v>375</v>
      </c>
      <c r="K52" s="146" t="s">
        <v>385</v>
      </c>
      <c r="L52" s="140">
        <v>2016</v>
      </c>
      <c r="M52" s="64">
        <v>2059562</v>
      </c>
      <c r="N52" s="64"/>
      <c r="O52" s="64"/>
      <c r="P52" s="66">
        <f t="shared" si="0"/>
        <v>0</v>
      </c>
      <c r="Q52" s="14"/>
      <c r="R52" s="14"/>
      <c r="S52" s="14"/>
      <c r="T52" s="14"/>
    </row>
    <row r="53" spans="1:20" ht="15" customHeight="1">
      <c r="A53" s="144" t="s">
        <v>363</v>
      </c>
      <c r="B53" s="132"/>
      <c r="C53" s="132"/>
      <c r="D53" s="132"/>
      <c r="E53" s="132"/>
      <c r="F53" s="133"/>
      <c r="G53" s="133"/>
      <c r="H53" s="133"/>
      <c r="I53" s="132"/>
      <c r="J53" s="146"/>
      <c r="K53" s="146"/>
      <c r="L53" s="140"/>
      <c r="M53" s="141">
        <f>M54</f>
        <v>3101645</v>
      </c>
      <c r="N53" s="141">
        <f>N54</f>
        <v>0</v>
      </c>
      <c r="O53" s="141">
        <f>O54</f>
        <v>0</v>
      </c>
      <c r="P53" s="61">
        <f t="shared" si="0"/>
        <v>0</v>
      </c>
      <c r="Q53" s="14"/>
      <c r="R53" s="14"/>
      <c r="S53" s="14"/>
      <c r="T53" s="14"/>
    </row>
    <row r="54" spans="1:20" ht="23.25" customHeight="1">
      <c r="A54" s="135" t="s">
        <v>414</v>
      </c>
      <c r="B54" s="132">
        <v>12</v>
      </c>
      <c r="C54" s="132">
        <v>1</v>
      </c>
      <c r="D54" s="132">
        <v>41</v>
      </c>
      <c r="E54" s="132">
        <v>812</v>
      </c>
      <c r="F54" s="133" t="s">
        <v>15</v>
      </c>
      <c r="G54" s="133" t="s">
        <v>13</v>
      </c>
      <c r="H54" s="133" t="s">
        <v>196</v>
      </c>
      <c r="I54" s="132">
        <v>522</v>
      </c>
      <c r="J54" s="146" t="s">
        <v>364</v>
      </c>
      <c r="K54" s="146">
        <v>1</v>
      </c>
      <c r="L54" s="140">
        <v>2016</v>
      </c>
      <c r="M54" s="142">
        <v>3101645</v>
      </c>
      <c r="N54" s="64"/>
      <c r="O54" s="64"/>
      <c r="P54" s="66">
        <f t="shared" si="0"/>
        <v>0</v>
      </c>
      <c r="Q54" s="14"/>
      <c r="R54" s="14"/>
      <c r="S54" s="14"/>
      <c r="T54" s="14"/>
    </row>
    <row r="55" spans="1:20" ht="13.5" customHeight="1">
      <c r="A55" s="147" t="s">
        <v>80</v>
      </c>
      <c r="B55" s="148"/>
      <c r="C55" s="148"/>
      <c r="D55" s="148"/>
      <c r="E55" s="148"/>
      <c r="F55" s="148"/>
      <c r="G55" s="148"/>
      <c r="H55" s="149"/>
      <c r="I55" s="148"/>
      <c r="J55" s="140"/>
      <c r="K55" s="140"/>
      <c r="L55" s="140"/>
      <c r="M55" s="150">
        <f>M56</f>
        <v>622933</v>
      </c>
      <c r="N55" s="150">
        <f>N56</f>
        <v>0</v>
      </c>
      <c r="O55" s="150">
        <f>O56</f>
        <v>622933</v>
      </c>
      <c r="P55" s="61">
        <f t="shared" si="0"/>
        <v>100</v>
      </c>
      <c r="Q55" s="14"/>
      <c r="R55" s="14"/>
      <c r="S55" s="14"/>
      <c r="T55" s="14"/>
    </row>
    <row r="56" spans="1:20" ht="36.75" customHeight="1">
      <c r="A56" s="151" t="s">
        <v>216</v>
      </c>
      <c r="B56" s="132">
        <v>12</v>
      </c>
      <c r="C56" s="132">
        <v>1</v>
      </c>
      <c r="D56" s="132">
        <v>41</v>
      </c>
      <c r="E56" s="132">
        <v>812</v>
      </c>
      <c r="F56" s="133" t="s">
        <v>15</v>
      </c>
      <c r="G56" s="133" t="s">
        <v>13</v>
      </c>
      <c r="H56" s="133" t="s">
        <v>196</v>
      </c>
      <c r="I56" s="132">
        <v>522</v>
      </c>
      <c r="J56" s="140"/>
      <c r="K56" s="140"/>
      <c r="L56" s="140"/>
      <c r="M56" s="152">
        <f>M57</f>
        <v>622933</v>
      </c>
      <c r="N56" s="64">
        <v>0</v>
      </c>
      <c r="O56" s="64">
        <v>622933</v>
      </c>
      <c r="P56" s="66">
        <f t="shared" si="0"/>
        <v>100</v>
      </c>
      <c r="Q56" s="14"/>
      <c r="R56" s="14"/>
      <c r="S56" s="14"/>
      <c r="T56" s="14"/>
    </row>
    <row r="57" spans="1:20" ht="24.75" customHeight="1">
      <c r="A57" s="125" t="s">
        <v>200</v>
      </c>
      <c r="B57" s="148"/>
      <c r="C57" s="148"/>
      <c r="D57" s="148"/>
      <c r="E57" s="148"/>
      <c r="F57" s="148"/>
      <c r="G57" s="148"/>
      <c r="H57" s="149"/>
      <c r="I57" s="148"/>
      <c r="J57" s="140"/>
      <c r="K57" s="140"/>
      <c r="L57" s="140"/>
      <c r="M57" s="153">
        <v>622933</v>
      </c>
      <c r="N57" s="67">
        <v>0</v>
      </c>
      <c r="O57" s="67">
        <v>622933</v>
      </c>
      <c r="P57" s="69">
        <f t="shared" si="0"/>
        <v>100</v>
      </c>
      <c r="Q57" s="14"/>
      <c r="R57" s="14"/>
      <c r="S57" s="14"/>
      <c r="T57" s="14"/>
    </row>
    <row r="58" spans="1:20" ht="14.25" customHeight="1">
      <c r="A58" s="147" t="s">
        <v>270</v>
      </c>
      <c r="B58" s="148"/>
      <c r="C58" s="148"/>
      <c r="D58" s="148"/>
      <c r="E58" s="148"/>
      <c r="F58" s="148"/>
      <c r="G58" s="148"/>
      <c r="H58" s="149"/>
      <c r="I58" s="148"/>
      <c r="J58" s="140"/>
      <c r="K58" s="140"/>
      <c r="L58" s="140"/>
      <c r="M58" s="150">
        <f>M59+M60</f>
        <v>8072102</v>
      </c>
      <c r="N58" s="150">
        <f>N59+N60</f>
        <v>0</v>
      </c>
      <c r="O58" s="150">
        <f>O59+O60</f>
        <v>0</v>
      </c>
      <c r="P58" s="61">
        <f t="shared" si="0"/>
        <v>0</v>
      </c>
      <c r="Q58" s="14"/>
      <c r="R58" s="14"/>
      <c r="S58" s="14"/>
      <c r="T58" s="14"/>
    </row>
    <row r="59" spans="1:20" ht="23.25" customHeight="1">
      <c r="A59" s="135" t="s">
        <v>432</v>
      </c>
      <c r="B59" s="132">
        <v>12</v>
      </c>
      <c r="C59" s="132">
        <v>1</v>
      </c>
      <c r="D59" s="132">
        <v>41</v>
      </c>
      <c r="E59" s="132">
        <v>812</v>
      </c>
      <c r="F59" s="133" t="s">
        <v>15</v>
      </c>
      <c r="G59" s="133" t="s">
        <v>13</v>
      </c>
      <c r="H59" s="133" t="s">
        <v>196</v>
      </c>
      <c r="I59" s="132">
        <v>522</v>
      </c>
      <c r="J59" s="145" t="s">
        <v>430</v>
      </c>
      <c r="K59" s="145" t="s">
        <v>366</v>
      </c>
      <c r="L59" s="140">
        <v>2016</v>
      </c>
      <c r="M59" s="152">
        <v>3440852</v>
      </c>
      <c r="N59" s="64"/>
      <c r="O59" s="64"/>
      <c r="P59" s="66">
        <f t="shared" si="0"/>
        <v>0</v>
      </c>
      <c r="Q59" s="14"/>
      <c r="R59" s="14"/>
      <c r="S59" s="14"/>
      <c r="T59" s="14"/>
    </row>
    <row r="60" spans="1:20" ht="23.25" customHeight="1">
      <c r="A60" s="135" t="s">
        <v>365</v>
      </c>
      <c r="B60" s="132">
        <v>12</v>
      </c>
      <c r="C60" s="132">
        <v>1</v>
      </c>
      <c r="D60" s="132">
        <v>41</v>
      </c>
      <c r="E60" s="132">
        <v>812</v>
      </c>
      <c r="F60" s="133" t="s">
        <v>15</v>
      </c>
      <c r="G60" s="133" t="s">
        <v>13</v>
      </c>
      <c r="H60" s="133" t="s">
        <v>196</v>
      </c>
      <c r="I60" s="132">
        <v>522</v>
      </c>
      <c r="J60" s="145" t="s">
        <v>430</v>
      </c>
      <c r="K60" s="145" t="s">
        <v>367</v>
      </c>
      <c r="L60" s="140">
        <v>2016</v>
      </c>
      <c r="M60" s="152">
        <v>4631250</v>
      </c>
      <c r="N60" s="64"/>
      <c r="O60" s="64"/>
      <c r="P60" s="66">
        <f t="shared" si="0"/>
        <v>0</v>
      </c>
      <c r="Q60" s="14"/>
      <c r="R60" s="14"/>
      <c r="S60" s="14"/>
      <c r="T60" s="14"/>
    </row>
    <row r="61" spans="1:20" ht="15" customHeight="1">
      <c r="A61" s="154" t="s">
        <v>376</v>
      </c>
      <c r="B61" s="132"/>
      <c r="C61" s="132"/>
      <c r="D61" s="132"/>
      <c r="E61" s="132"/>
      <c r="F61" s="133"/>
      <c r="G61" s="133"/>
      <c r="H61" s="133"/>
      <c r="I61" s="132"/>
      <c r="J61" s="145"/>
      <c r="K61" s="145"/>
      <c r="L61" s="140"/>
      <c r="M61" s="150">
        <f>M62</f>
        <v>4362381</v>
      </c>
      <c r="N61" s="150">
        <f>N62</f>
        <v>0</v>
      </c>
      <c r="O61" s="150">
        <f>O62</f>
        <v>0</v>
      </c>
      <c r="P61" s="61">
        <f t="shared" si="0"/>
        <v>0</v>
      </c>
      <c r="Q61" s="14"/>
      <c r="R61" s="14"/>
      <c r="S61" s="14"/>
      <c r="T61" s="14"/>
    </row>
    <row r="62" spans="1:20" ht="26.25" customHeight="1">
      <c r="A62" s="155" t="s">
        <v>384</v>
      </c>
      <c r="B62" s="132">
        <v>12</v>
      </c>
      <c r="C62" s="132">
        <v>1</v>
      </c>
      <c r="D62" s="132">
        <v>41</v>
      </c>
      <c r="E62" s="132">
        <v>812</v>
      </c>
      <c r="F62" s="133" t="s">
        <v>15</v>
      </c>
      <c r="G62" s="133" t="s">
        <v>13</v>
      </c>
      <c r="H62" s="133" t="s">
        <v>196</v>
      </c>
      <c r="I62" s="132">
        <v>522</v>
      </c>
      <c r="J62" s="145" t="s">
        <v>431</v>
      </c>
      <c r="K62" s="145" t="s">
        <v>377</v>
      </c>
      <c r="L62" s="140">
        <v>2016</v>
      </c>
      <c r="M62" s="152">
        <v>4362381</v>
      </c>
      <c r="N62" s="64"/>
      <c r="O62" s="64"/>
      <c r="P62" s="66">
        <f t="shared" si="0"/>
        <v>0</v>
      </c>
      <c r="Q62" s="14"/>
      <c r="R62" s="14"/>
      <c r="S62" s="14"/>
      <c r="T62" s="14"/>
    </row>
    <row r="63" spans="1:20" ht="15.75" customHeight="1">
      <c r="A63" s="156" t="s">
        <v>293</v>
      </c>
      <c r="B63" s="148"/>
      <c r="C63" s="148"/>
      <c r="D63" s="148"/>
      <c r="E63" s="148"/>
      <c r="F63" s="148"/>
      <c r="G63" s="148"/>
      <c r="H63" s="149"/>
      <c r="I63" s="148"/>
      <c r="J63" s="140"/>
      <c r="K63" s="140"/>
      <c r="L63" s="140"/>
      <c r="M63" s="150">
        <f>M64</f>
        <v>1088690</v>
      </c>
      <c r="N63" s="150">
        <f>N64</f>
        <v>0</v>
      </c>
      <c r="O63" s="150">
        <f>O64</f>
        <v>0</v>
      </c>
      <c r="P63" s="61">
        <f t="shared" si="0"/>
        <v>0</v>
      </c>
      <c r="Q63" s="14"/>
      <c r="R63" s="14"/>
      <c r="S63" s="14"/>
      <c r="T63" s="14"/>
    </row>
    <row r="64" spans="1:20" ht="27.75" customHeight="1">
      <c r="A64" s="135" t="s">
        <v>383</v>
      </c>
      <c r="B64" s="132">
        <v>12</v>
      </c>
      <c r="C64" s="132">
        <v>1</v>
      </c>
      <c r="D64" s="132">
        <v>41</v>
      </c>
      <c r="E64" s="132">
        <v>812</v>
      </c>
      <c r="F64" s="133" t="s">
        <v>15</v>
      </c>
      <c r="G64" s="133" t="s">
        <v>13</v>
      </c>
      <c r="H64" s="133" t="s">
        <v>196</v>
      </c>
      <c r="I64" s="132">
        <v>522</v>
      </c>
      <c r="J64" s="145" t="s">
        <v>294</v>
      </c>
      <c r="K64" s="145" t="s">
        <v>295</v>
      </c>
      <c r="L64" s="140">
        <v>2016</v>
      </c>
      <c r="M64" s="152">
        <v>1088690</v>
      </c>
      <c r="N64" s="64"/>
      <c r="O64" s="64"/>
      <c r="P64" s="66">
        <f t="shared" si="0"/>
        <v>0</v>
      </c>
      <c r="Q64" s="14"/>
      <c r="R64" s="14"/>
      <c r="S64" s="14"/>
      <c r="T64" s="14"/>
    </row>
    <row r="65" spans="1:20" ht="15" customHeight="1">
      <c r="A65" s="144" t="s">
        <v>368</v>
      </c>
      <c r="B65" s="132"/>
      <c r="C65" s="132"/>
      <c r="D65" s="132"/>
      <c r="E65" s="132"/>
      <c r="F65" s="133"/>
      <c r="G65" s="133"/>
      <c r="H65" s="133"/>
      <c r="I65" s="132"/>
      <c r="J65" s="145"/>
      <c r="K65" s="145"/>
      <c r="L65" s="140"/>
      <c r="M65" s="150">
        <f>M66</f>
        <v>3948884</v>
      </c>
      <c r="N65" s="150">
        <f>N66</f>
        <v>0</v>
      </c>
      <c r="O65" s="150">
        <f>O66</f>
        <v>0</v>
      </c>
      <c r="P65" s="61">
        <f t="shared" si="0"/>
        <v>0</v>
      </c>
      <c r="Q65" s="14"/>
      <c r="R65" s="14"/>
      <c r="S65" s="14"/>
      <c r="T65" s="14"/>
    </row>
    <row r="66" spans="1:20" ht="24.75" customHeight="1">
      <c r="A66" s="135" t="s">
        <v>369</v>
      </c>
      <c r="B66" s="132">
        <v>12</v>
      </c>
      <c r="C66" s="132">
        <v>1</v>
      </c>
      <c r="D66" s="132">
        <v>41</v>
      </c>
      <c r="E66" s="132">
        <v>812</v>
      </c>
      <c r="F66" s="133" t="s">
        <v>15</v>
      </c>
      <c r="G66" s="133" t="s">
        <v>13</v>
      </c>
      <c r="H66" s="133" t="s">
        <v>196</v>
      </c>
      <c r="I66" s="132">
        <v>522</v>
      </c>
      <c r="J66" s="145" t="s">
        <v>63</v>
      </c>
      <c r="K66" s="145">
        <v>2.263</v>
      </c>
      <c r="L66" s="140">
        <v>2016</v>
      </c>
      <c r="M66" s="152">
        <v>3948884</v>
      </c>
      <c r="N66" s="64"/>
      <c r="O66" s="64"/>
      <c r="P66" s="66">
        <f t="shared" si="0"/>
        <v>0</v>
      </c>
      <c r="Q66" s="14"/>
      <c r="R66" s="14"/>
      <c r="S66" s="14"/>
      <c r="T66" s="14"/>
    </row>
    <row r="67" spans="1:20" ht="17.25" customHeight="1">
      <c r="A67" s="144" t="s">
        <v>171</v>
      </c>
      <c r="B67" s="132"/>
      <c r="C67" s="132"/>
      <c r="D67" s="132"/>
      <c r="E67" s="132"/>
      <c r="F67" s="133"/>
      <c r="G67" s="133"/>
      <c r="H67" s="133"/>
      <c r="I67" s="132"/>
      <c r="J67" s="140"/>
      <c r="K67" s="140"/>
      <c r="L67" s="140"/>
      <c r="M67" s="141">
        <f>M68+M70</f>
        <v>2613939</v>
      </c>
      <c r="N67" s="141">
        <f>N68+N70</f>
        <v>0</v>
      </c>
      <c r="O67" s="141">
        <f>O68+O70</f>
        <v>500000</v>
      </c>
      <c r="P67" s="61">
        <f t="shared" si="0"/>
        <v>19.1282199010765</v>
      </c>
      <c r="Q67" s="14"/>
      <c r="R67" s="14"/>
      <c r="S67" s="14"/>
      <c r="T67" s="14"/>
    </row>
    <row r="68" spans="1:20" ht="22.5" customHeight="1">
      <c r="A68" s="135" t="s">
        <v>415</v>
      </c>
      <c r="B68" s="132">
        <v>12</v>
      </c>
      <c r="C68" s="132">
        <v>1</v>
      </c>
      <c r="D68" s="132">
        <v>41</v>
      </c>
      <c r="E68" s="132">
        <v>812</v>
      </c>
      <c r="F68" s="133" t="s">
        <v>15</v>
      </c>
      <c r="G68" s="133" t="s">
        <v>13</v>
      </c>
      <c r="H68" s="133" t="s">
        <v>196</v>
      </c>
      <c r="I68" s="132">
        <v>522</v>
      </c>
      <c r="J68" s="140" t="s">
        <v>63</v>
      </c>
      <c r="K68" s="140">
        <v>1.313</v>
      </c>
      <c r="L68" s="140" t="s">
        <v>172</v>
      </c>
      <c r="M68" s="142">
        <v>1208386</v>
      </c>
      <c r="N68" s="64">
        <v>0</v>
      </c>
      <c r="O68" s="64">
        <v>500000</v>
      </c>
      <c r="P68" s="66">
        <f t="shared" si="0"/>
        <v>41.377506856252886</v>
      </c>
      <c r="Q68" s="14"/>
      <c r="R68" s="14"/>
      <c r="S68" s="14"/>
      <c r="T68" s="14"/>
    </row>
    <row r="69" spans="1:20" ht="24.75" customHeight="1">
      <c r="A69" s="125" t="s">
        <v>200</v>
      </c>
      <c r="B69" s="132"/>
      <c r="C69" s="132"/>
      <c r="D69" s="132"/>
      <c r="E69" s="132"/>
      <c r="F69" s="133"/>
      <c r="G69" s="133"/>
      <c r="H69" s="133"/>
      <c r="I69" s="132"/>
      <c r="J69" s="140"/>
      <c r="K69" s="140"/>
      <c r="L69" s="140"/>
      <c r="M69" s="143">
        <v>500000</v>
      </c>
      <c r="N69" s="67">
        <v>0</v>
      </c>
      <c r="O69" s="67">
        <v>500000</v>
      </c>
      <c r="P69" s="69">
        <f t="shared" si="0"/>
        <v>100</v>
      </c>
      <c r="Q69" s="14"/>
      <c r="R69" s="14"/>
      <c r="S69" s="14"/>
      <c r="T69" s="14"/>
    </row>
    <row r="70" spans="1:20" ht="25.5" customHeight="1">
      <c r="A70" s="135" t="s">
        <v>416</v>
      </c>
      <c r="B70" s="132">
        <v>12</v>
      </c>
      <c r="C70" s="132">
        <v>1</v>
      </c>
      <c r="D70" s="132">
        <v>41</v>
      </c>
      <c r="E70" s="132">
        <v>812</v>
      </c>
      <c r="F70" s="133" t="s">
        <v>15</v>
      </c>
      <c r="G70" s="133" t="s">
        <v>13</v>
      </c>
      <c r="H70" s="133" t="s">
        <v>196</v>
      </c>
      <c r="I70" s="132">
        <v>522</v>
      </c>
      <c r="J70" s="145" t="s">
        <v>296</v>
      </c>
      <c r="K70" s="145" t="s">
        <v>297</v>
      </c>
      <c r="L70" s="140">
        <v>2016</v>
      </c>
      <c r="M70" s="142">
        <v>1405553</v>
      </c>
      <c r="N70" s="64"/>
      <c r="O70" s="64"/>
      <c r="P70" s="66">
        <f t="shared" si="0"/>
        <v>0</v>
      </c>
      <c r="Q70" s="14"/>
      <c r="R70" s="14"/>
      <c r="S70" s="14"/>
      <c r="T70" s="14"/>
    </row>
    <row r="71" spans="1:20" ht="23.25" customHeight="1">
      <c r="A71" s="156" t="s">
        <v>298</v>
      </c>
      <c r="B71" s="132"/>
      <c r="C71" s="132"/>
      <c r="D71" s="132"/>
      <c r="E71" s="132"/>
      <c r="F71" s="133"/>
      <c r="G71" s="133"/>
      <c r="H71" s="133"/>
      <c r="I71" s="132"/>
      <c r="J71" s="145"/>
      <c r="K71" s="145"/>
      <c r="L71" s="140"/>
      <c r="M71" s="141">
        <f>M72</f>
        <v>2343391</v>
      </c>
      <c r="N71" s="141">
        <f>N72</f>
        <v>2343391</v>
      </c>
      <c r="O71" s="141">
        <f>O72</f>
        <v>2343391</v>
      </c>
      <c r="P71" s="61">
        <f t="shared" si="0"/>
        <v>100</v>
      </c>
      <c r="Q71" s="14"/>
      <c r="R71" s="14"/>
      <c r="S71" s="14"/>
      <c r="T71" s="14"/>
    </row>
    <row r="72" spans="1:20" ht="22.5" customHeight="1">
      <c r="A72" s="62" t="s">
        <v>299</v>
      </c>
      <c r="B72" s="132">
        <v>12</v>
      </c>
      <c r="C72" s="132">
        <v>1</v>
      </c>
      <c r="D72" s="132">
        <v>41</v>
      </c>
      <c r="E72" s="132">
        <v>812</v>
      </c>
      <c r="F72" s="133" t="s">
        <v>15</v>
      </c>
      <c r="G72" s="133" t="s">
        <v>13</v>
      </c>
      <c r="H72" s="133" t="s">
        <v>196</v>
      </c>
      <c r="I72" s="132">
        <v>522</v>
      </c>
      <c r="J72" s="145" t="s">
        <v>300</v>
      </c>
      <c r="K72" s="145">
        <v>1842</v>
      </c>
      <c r="L72" s="140">
        <v>2016</v>
      </c>
      <c r="M72" s="142">
        <v>2343391</v>
      </c>
      <c r="N72" s="64">
        <v>2343391</v>
      </c>
      <c r="O72" s="64">
        <v>2343391</v>
      </c>
      <c r="P72" s="66">
        <f aca="true" t="shared" si="3" ref="P72:P135">O72/M72*100</f>
        <v>100</v>
      </c>
      <c r="Q72" s="14"/>
      <c r="R72" s="14"/>
      <c r="S72" s="14"/>
      <c r="T72" s="14"/>
    </row>
    <row r="73" spans="1:20" ht="15" customHeight="1">
      <c r="A73" s="156" t="s">
        <v>301</v>
      </c>
      <c r="B73" s="132"/>
      <c r="C73" s="132"/>
      <c r="D73" s="132"/>
      <c r="E73" s="132"/>
      <c r="F73" s="133"/>
      <c r="G73" s="133"/>
      <c r="H73" s="133"/>
      <c r="I73" s="132"/>
      <c r="J73" s="145"/>
      <c r="K73" s="145"/>
      <c r="L73" s="140"/>
      <c r="M73" s="141">
        <f>M74</f>
        <v>6794922</v>
      </c>
      <c r="N73" s="141">
        <f>N74</f>
        <v>0</v>
      </c>
      <c r="O73" s="141">
        <f>O74</f>
        <v>0</v>
      </c>
      <c r="P73" s="61">
        <f t="shared" si="3"/>
        <v>0</v>
      </c>
      <c r="Q73" s="14"/>
      <c r="R73" s="14"/>
      <c r="S73" s="14"/>
      <c r="T73" s="14"/>
    </row>
    <row r="74" spans="1:20" ht="36.75" customHeight="1">
      <c r="A74" s="151" t="s">
        <v>302</v>
      </c>
      <c r="B74" s="132">
        <v>12</v>
      </c>
      <c r="C74" s="132">
        <v>1</v>
      </c>
      <c r="D74" s="132">
        <v>41</v>
      </c>
      <c r="E74" s="132">
        <v>812</v>
      </c>
      <c r="F74" s="133" t="s">
        <v>15</v>
      </c>
      <c r="G74" s="133" t="s">
        <v>13</v>
      </c>
      <c r="H74" s="133" t="s">
        <v>196</v>
      </c>
      <c r="I74" s="132">
        <v>522</v>
      </c>
      <c r="J74" s="145" t="s">
        <v>303</v>
      </c>
      <c r="K74" s="145" t="s">
        <v>304</v>
      </c>
      <c r="L74" s="140">
        <v>2016</v>
      </c>
      <c r="M74" s="142">
        <v>6794922</v>
      </c>
      <c r="N74" s="64"/>
      <c r="O74" s="64"/>
      <c r="P74" s="66">
        <f t="shared" si="3"/>
        <v>0</v>
      </c>
      <c r="Q74" s="14"/>
      <c r="R74" s="14"/>
      <c r="S74" s="14"/>
      <c r="T74" s="14"/>
    </row>
    <row r="75" spans="1:20" ht="15.75" customHeight="1">
      <c r="A75" s="147" t="s">
        <v>248</v>
      </c>
      <c r="B75" s="132">
        <v>12</v>
      </c>
      <c r="C75" s="132">
        <v>1</v>
      </c>
      <c r="D75" s="132">
        <v>41</v>
      </c>
      <c r="E75" s="132">
        <v>812</v>
      </c>
      <c r="F75" s="133" t="s">
        <v>15</v>
      </c>
      <c r="G75" s="133" t="s">
        <v>13</v>
      </c>
      <c r="H75" s="133" t="s">
        <v>196</v>
      </c>
      <c r="I75" s="132">
        <v>522</v>
      </c>
      <c r="J75" s="140"/>
      <c r="K75" s="140"/>
      <c r="L75" s="140"/>
      <c r="M75" s="150">
        <v>6232699</v>
      </c>
      <c r="N75" s="150"/>
      <c r="O75" s="150"/>
      <c r="P75" s="61">
        <f t="shared" si="3"/>
        <v>0</v>
      </c>
      <c r="Q75" s="14"/>
      <c r="R75" s="14"/>
      <c r="S75" s="14"/>
      <c r="T75" s="14"/>
    </row>
    <row r="76" spans="1:20" ht="24.75" customHeight="1">
      <c r="A76" s="60" t="s">
        <v>25</v>
      </c>
      <c r="B76" s="65" t="s">
        <v>22</v>
      </c>
      <c r="C76" s="65">
        <v>0</v>
      </c>
      <c r="D76" s="65"/>
      <c r="E76" s="65"/>
      <c r="F76" s="65"/>
      <c r="G76" s="65"/>
      <c r="H76" s="65"/>
      <c r="I76" s="65"/>
      <c r="J76" s="112"/>
      <c r="K76" s="112"/>
      <c r="L76" s="113"/>
      <c r="M76" s="129">
        <f>M78</f>
        <v>40809727</v>
      </c>
      <c r="N76" s="129">
        <f>N78</f>
        <v>28553328.91</v>
      </c>
      <c r="O76" s="129">
        <f>O78</f>
        <v>24679394.46</v>
      </c>
      <c r="P76" s="61">
        <f t="shared" si="3"/>
        <v>60.47429442495413</v>
      </c>
      <c r="Q76" s="14"/>
      <c r="R76" s="14"/>
      <c r="S76" s="14"/>
      <c r="T76" s="14"/>
    </row>
    <row r="77" spans="1:20" ht="17.25" customHeight="1">
      <c r="A77" s="60" t="s">
        <v>187</v>
      </c>
      <c r="B77" s="60">
        <v>14</v>
      </c>
      <c r="C77" s="60">
        <v>0</v>
      </c>
      <c r="D77" s="60">
        <v>18</v>
      </c>
      <c r="E77" s="62"/>
      <c r="F77" s="65"/>
      <c r="G77" s="65"/>
      <c r="H77" s="65"/>
      <c r="I77" s="65"/>
      <c r="J77" s="112"/>
      <c r="K77" s="112"/>
      <c r="L77" s="113"/>
      <c r="M77" s="129">
        <f>M78</f>
        <v>40809727</v>
      </c>
      <c r="N77" s="129">
        <f aca="true" t="shared" si="4" ref="N77:O81">N78</f>
        <v>28553328.91</v>
      </c>
      <c r="O77" s="129">
        <f t="shared" si="4"/>
        <v>24679394.46</v>
      </c>
      <c r="P77" s="61">
        <f t="shared" si="3"/>
        <v>60.47429442495413</v>
      </c>
      <c r="Q77" s="14"/>
      <c r="R77" s="14"/>
      <c r="S77" s="14"/>
      <c r="T77" s="14"/>
    </row>
    <row r="78" spans="1:20" ht="22.5" customHeight="1">
      <c r="A78" s="60" t="s">
        <v>28</v>
      </c>
      <c r="B78" s="65">
        <v>14</v>
      </c>
      <c r="C78" s="65">
        <v>0</v>
      </c>
      <c r="D78" s="60">
        <v>18</v>
      </c>
      <c r="E78" s="65">
        <v>819</v>
      </c>
      <c r="F78" s="65"/>
      <c r="G78" s="65"/>
      <c r="H78" s="65"/>
      <c r="I78" s="65"/>
      <c r="J78" s="112"/>
      <c r="K78" s="112"/>
      <c r="L78" s="113"/>
      <c r="M78" s="129">
        <f>M79</f>
        <v>40809727</v>
      </c>
      <c r="N78" s="129">
        <f t="shared" si="4"/>
        <v>28553328.91</v>
      </c>
      <c r="O78" s="129">
        <f t="shared" si="4"/>
        <v>24679394.46</v>
      </c>
      <c r="P78" s="61">
        <f t="shared" si="3"/>
        <v>60.47429442495413</v>
      </c>
      <c r="Q78" s="14"/>
      <c r="R78" s="14"/>
      <c r="S78" s="14"/>
      <c r="T78" s="14"/>
    </row>
    <row r="79" spans="1:20" ht="15.75" customHeight="1">
      <c r="A79" s="60" t="s">
        <v>24</v>
      </c>
      <c r="B79" s="65" t="s">
        <v>22</v>
      </c>
      <c r="C79" s="65">
        <v>0</v>
      </c>
      <c r="D79" s="60">
        <v>18</v>
      </c>
      <c r="E79" s="65" t="s">
        <v>29</v>
      </c>
      <c r="F79" s="65" t="s">
        <v>20</v>
      </c>
      <c r="G79" s="65" t="s">
        <v>0</v>
      </c>
      <c r="H79" s="65"/>
      <c r="I79" s="65"/>
      <c r="J79" s="112"/>
      <c r="K79" s="112"/>
      <c r="L79" s="113"/>
      <c r="M79" s="129">
        <f>M80</f>
        <v>40809727</v>
      </c>
      <c r="N79" s="129">
        <f t="shared" si="4"/>
        <v>28553328.91</v>
      </c>
      <c r="O79" s="129">
        <f t="shared" si="4"/>
        <v>24679394.46</v>
      </c>
      <c r="P79" s="61">
        <f t="shared" si="3"/>
        <v>60.47429442495413</v>
      </c>
      <c r="Q79" s="14"/>
      <c r="R79" s="14"/>
      <c r="S79" s="14"/>
      <c r="T79" s="14"/>
    </row>
    <row r="80" spans="1:20" s="1" customFormat="1" ht="15.75" customHeight="1">
      <c r="A80" s="60" t="s">
        <v>26</v>
      </c>
      <c r="B80" s="65">
        <v>14</v>
      </c>
      <c r="C80" s="65">
        <v>0</v>
      </c>
      <c r="D80" s="60">
        <v>18</v>
      </c>
      <c r="E80" s="65" t="s">
        <v>29</v>
      </c>
      <c r="F80" s="65" t="s">
        <v>20</v>
      </c>
      <c r="G80" s="115" t="s">
        <v>12</v>
      </c>
      <c r="H80" s="65"/>
      <c r="I80" s="65"/>
      <c r="J80" s="112"/>
      <c r="K80" s="112"/>
      <c r="L80" s="113"/>
      <c r="M80" s="129">
        <f>M81</f>
        <v>40809727</v>
      </c>
      <c r="N80" s="129">
        <f t="shared" si="4"/>
        <v>28553328.91</v>
      </c>
      <c r="O80" s="129">
        <f t="shared" si="4"/>
        <v>24679394.46</v>
      </c>
      <c r="P80" s="61">
        <f t="shared" si="3"/>
        <v>60.47429442495413</v>
      </c>
      <c r="Q80" s="14"/>
      <c r="R80" s="14"/>
      <c r="S80" s="14"/>
      <c r="T80" s="14"/>
    </row>
    <row r="81" spans="1:20" s="1" customFormat="1" ht="24" customHeight="1">
      <c r="A81" s="60" t="s">
        <v>79</v>
      </c>
      <c r="B81" s="65" t="s">
        <v>22</v>
      </c>
      <c r="C81" s="65">
        <v>0</v>
      </c>
      <c r="D81" s="60">
        <v>18</v>
      </c>
      <c r="E81" s="65" t="s">
        <v>29</v>
      </c>
      <c r="F81" s="65" t="s">
        <v>20</v>
      </c>
      <c r="G81" s="115" t="s">
        <v>12</v>
      </c>
      <c r="H81" s="65">
        <v>11270</v>
      </c>
      <c r="I81" s="65" t="s">
        <v>0</v>
      </c>
      <c r="J81" s="112"/>
      <c r="K81" s="112"/>
      <c r="L81" s="113"/>
      <c r="M81" s="129">
        <f>M82</f>
        <v>40809727</v>
      </c>
      <c r="N81" s="129">
        <f t="shared" si="4"/>
        <v>28553328.91</v>
      </c>
      <c r="O81" s="129">
        <f t="shared" si="4"/>
        <v>24679394.46</v>
      </c>
      <c r="P81" s="61">
        <f t="shared" si="3"/>
        <v>60.47429442495413</v>
      </c>
      <c r="Q81" s="14"/>
      <c r="R81" s="14"/>
      <c r="S81" s="14"/>
      <c r="T81" s="14"/>
    </row>
    <row r="82" spans="1:20" s="1" customFormat="1" ht="28.5" customHeight="1">
      <c r="A82" s="60" t="s">
        <v>75</v>
      </c>
      <c r="B82" s="65" t="s">
        <v>22</v>
      </c>
      <c r="C82" s="65">
        <v>0</v>
      </c>
      <c r="D82" s="60">
        <v>18</v>
      </c>
      <c r="E82" s="65" t="s">
        <v>29</v>
      </c>
      <c r="F82" s="65" t="s">
        <v>20</v>
      </c>
      <c r="G82" s="115" t="s">
        <v>12</v>
      </c>
      <c r="H82" s="65">
        <v>11270</v>
      </c>
      <c r="I82" s="65" t="s">
        <v>76</v>
      </c>
      <c r="J82" s="112"/>
      <c r="K82" s="112"/>
      <c r="L82" s="113"/>
      <c r="M82" s="129">
        <f>M85+M90+M83+M88</f>
        <v>40809727</v>
      </c>
      <c r="N82" s="129">
        <f>N85+N90+N83+N88</f>
        <v>28553328.91</v>
      </c>
      <c r="O82" s="129">
        <f>O85+O90+O83+O88</f>
        <v>24679394.46</v>
      </c>
      <c r="P82" s="61">
        <f t="shared" si="3"/>
        <v>60.47429442495413</v>
      </c>
      <c r="Q82" s="14"/>
      <c r="R82" s="14"/>
      <c r="S82" s="14"/>
      <c r="T82" s="14"/>
    </row>
    <row r="83" spans="1:20" s="1" customFormat="1" ht="17.25" customHeight="1">
      <c r="A83" s="60" t="s">
        <v>67</v>
      </c>
      <c r="B83" s="65"/>
      <c r="C83" s="65"/>
      <c r="D83" s="65"/>
      <c r="E83" s="65"/>
      <c r="F83" s="65"/>
      <c r="G83" s="115"/>
      <c r="H83" s="65"/>
      <c r="I83" s="65"/>
      <c r="J83" s="112"/>
      <c r="K83" s="112"/>
      <c r="L83" s="113"/>
      <c r="M83" s="129">
        <f>M84</f>
        <v>33255300</v>
      </c>
      <c r="N83" s="129">
        <f>N84</f>
        <v>24053328.91</v>
      </c>
      <c r="O83" s="129">
        <f>O84</f>
        <v>18963943.46</v>
      </c>
      <c r="P83" s="61">
        <f t="shared" si="3"/>
        <v>57.02532666973384</v>
      </c>
      <c r="Q83" s="14"/>
      <c r="R83" s="14"/>
      <c r="S83" s="14"/>
      <c r="T83" s="14"/>
    </row>
    <row r="84" spans="1:20" s="1" customFormat="1" ht="14.25" customHeight="1">
      <c r="A84" s="62" t="s">
        <v>344</v>
      </c>
      <c r="B84" s="63" t="s">
        <v>22</v>
      </c>
      <c r="C84" s="63">
        <v>0</v>
      </c>
      <c r="D84" s="63">
        <v>18</v>
      </c>
      <c r="E84" s="63" t="s">
        <v>29</v>
      </c>
      <c r="F84" s="63" t="s">
        <v>20</v>
      </c>
      <c r="G84" s="157" t="s">
        <v>12</v>
      </c>
      <c r="H84" s="63">
        <v>11270</v>
      </c>
      <c r="I84" s="63" t="s">
        <v>76</v>
      </c>
      <c r="J84" s="113" t="s">
        <v>113</v>
      </c>
      <c r="K84" s="158">
        <v>2205.8</v>
      </c>
      <c r="L84" s="113"/>
      <c r="M84" s="40">
        <f>13425300-3000000+10000000-500000+13330000</f>
        <v>33255300</v>
      </c>
      <c r="N84" s="41">
        <v>24053328.91</v>
      </c>
      <c r="O84" s="41">
        <v>18963943.46</v>
      </c>
      <c r="P84" s="66">
        <f t="shared" si="3"/>
        <v>57.02532666973384</v>
      </c>
      <c r="Q84" s="14"/>
      <c r="R84" s="14"/>
      <c r="S84" s="14"/>
      <c r="T84" s="14"/>
    </row>
    <row r="85" spans="1:20" s="1" customFormat="1" ht="16.5" customHeight="1">
      <c r="A85" s="60" t="s">
        <v>61</v>
      </c>
      <c r="B85" s="65"/>
      <c r="C85" s="65"/>
      <c r="D85" s="65"/>
      <c r="E85" s="65"/>
      <c r="F85" s="65"/>
      <c r="G85" s="115"/>
      <c r="H85" s="65"/>
      <c r="I85" s="65"/>
      <c r="J85" s="113"/>
      <c r="K85" s="116"/>
      <c r="L85" s="113"/>
      <c r="M85" s="117">
        <f>M86</f>
        <v>2379427</v>
      </c>
      <c r="N85" s="117">
        <f>N86</f>
        <v>0</v>
      </c>
      <c r="O85" s="117">
        <f>O86</f>
        <v>2379427</v>
      </c>
      <c r="P85" s="61">
        <f t="shared" si="3"/>
        <v>100</v>
      </c>
      <c r="Q85" s="14"/>
      <c r="R85" s="14"/>
      <c r="S85" s="14"/>
      <c r="T85" s="14"/>
    </row>
    <row r="86" spans="1:20" s="1" customFormat="1" ht="35.25" customHeight="1">
      <c r="A86" s="62" t="s">
        <v>345</v>
      </c>
      <c r="B86" s="63" t="s">
        <v>22</v>
      </c>
      <c r="C86" s="63">
        <v>0</v>
      </c>
      <c r="D86" s="63">
        <v>18</v>
      </c>
      <c r="E86" s="63" t="s">
        <v>29</v>
      </c>
      <c r="F86" s="63" t="s">
        <v>20</v>
      </c>
      <c r="G86" s="157" t="s">
        <v>12</v>
      </c>
      <c r="H86" s="63">
        <v>11270</v>
      </c>
      <c r="I86" s="63" t="s">
        <v>76</v>
      </c>
      <c r="J86" s="113" t="s">
        <v>83</v>
      </c>
      <c r="K86" s="116">
        <v>50</v>
      </c>
      <c r="L86" s="113"/>
      <c r="M86" s="64">
        <v>2379427</v>
      </c>
      <c r="N86" s="41">
        <v>0</v>
      </c>
      <c r="O86" s="41">
        <v>2379427</v>
      </c>
      <c r="P86" s="66">
        <f t="shared" si="3"/>
        <v>100</v>
      </c>
      <c r="Q86" s="14"/>
      <c r="R86" s="14"/>
      <c r="S86" s="14"/>
      <c r="T86" s="14"/>
    </row>
    <row r="87" spans="1:20" s="1" customFormat="1" ht="25.5" customHeight="1">
      <c r="A87" s="125" t="s">
        <v>234</v>
      </c>
      <c r="B87" s="63"/>
      <c r="C87" s="63"/>
      <c r="D87" s="63"/>
      <c r="E87" s="63"/>
      <c r="F87" s="63"/>
      <c r="G87" s="157"/>
      <c r="H87" s="63"/>
      <c r="I87" s="63"/>
      <c r="J87" s="113"/>
      <c r="K87" s="116"/>
      <c r="L87" s="113"/>
      <c r="M87" s="67">
        <v>2379427</v>
      </c>
      <c r="N87" s="50">
        <v>0</v>
      </c>
      <c r="O87" s="50">
        <v>2379427</v>
      </c>
      <c r="P87" s="69">
        <f t="shared" si="3"/>
        <v>100</v>
      </c>
      <c r="Q87" s="14"/>
      <c r="R87" s="14"/>
      <c r="S87" s="14"/>
      <c r="T87" s="14"/>
    </row>
    <row r="88" spans="1:20" s="1" customFormat="1" ht="16.5" customHeight="1">
      <c r="A88" s="60" t="s">
        <v>77</v>
      </c>
      <c r="B88" s="63"/>
      <c r="C88" s="63"/>
      <c r="D88" s="63"/>
      <c r="E88" s="63"/>
      <c r="F88" s="63"/>
      <c r="G88" s="157"/>
      <c r="H88" s="63"/>
      <c r="I88" s="63"/>
      <c r="J88" s="113"/>
      <c r="K88" s="116"/>
      <c r="L88" s="113"/>
      <c r="M88" s="117">
        <f>M89</f>
        <v>4500000</v>
      </c>
      <c r="N88" s="117">
        <f>N89</f>
        <v>4500000</v>
      </c>
      <c r="O88" s="117">
        <f>O89</f>
        <v>3336024</v>
      </c>
      <c r="P88" s="61">
        <f t="shared" si="3"/>
        <v>74.13386666666668</v>
      </c>
      <c r="Q88" s="14"/>
      <c r="R88" s="14"/>
      <c r="S88" s="14"/>
      <c r="T88" s="14"/>
    </row>
    <row r="89" spans="1:20" s="1" customFormat="1" ht="27.75" customHeight="1">
      <c r="A89" s="62" t="s">
        <v>346</v>
      </c>
      <c r="B89" s="63" t="s">
        <v>22</v>
      </c>
      <c r="C89" s="63">
        <v>0</v>
      </c>
      <c r="D89" s="63">
        <v>18</v>
      </c>
      <c r="E89" s="63" t="s">
        <v>29</v>
      </c>
      <c r="F89" s="63" t="s">
        <v>20</v>
      </c>
      <c r="G89" s="159" t="s">
        <v>12</v>
      </c>
      <c r="H89" s="63">
        <v>11270</v>
      </c>
      <c r="I89" s="63" t="s">
        <v>76</v>
      </c>
      <c r="J89" s="116" t="s">
        <v>113</v>
      </c>
      <c r="K89" s="160">
        <v>2803.3</v>
      </c>
      <c r="L89" s="113"/>
      <c r="M89" s="64">
        <v>4500000</v>
      </c>
      <c r="N89" s="41">
        <v>4500000</v>
      </c>
      <c r="O89" s="41">
        <v>3336024</v>
      </c>
      <c r="P89" s="66">
        <f t="shared" si="3"/>
        <v>74.13386666666668</v>
      </c>
      <c r="Q89" s="14"/>
      <c r="R89" s="14"/>
      <c r="S89" s="14"/>
      <c r="T89" s="14"/>
    </row>
    <row r="90" spans="1:20" s="1" customFormat="1" ht="18" customHeight="1">
      <c r="A90" s="60" t="s">
        <v>62</v>
      </c>
      <c r="B90" s="63"/>
      <c r="C90" s="63"/>
      <c r="D90" s="63"/>
      <c r="E90" s="63"/>
      <c r="F90" s="63"/>
      <c r="G90" s="157"/>
      <c r="H90" s="63"/>
      <c r="I90" s="63"/>
      <c r="J90" s="113"/>
      <c r="K90" s="136"/>
      <c r="L90" s="113"/>
      <c r="M90" s="117">
        <f>M91</f>
        <v>675000</v>
      </c>
      <c r="N90" s="117">
        <f>N91</f>
        <v>0</v>
      </c>
      <c r="O90" s="117">
        <f>O91</f>
        <v>0</v>
      </c>
      <c r="P90" s="61">
        <f t="shared" si="3"/>
        <v>0</v>
      </c>
      <c r="Q90" s="14"/>
      <c r="R90" s="14"/>
      <c r="S90" s="14"/>
      <c r="T90" s="14"/>
    </row>
    <row r="91" spans="1:20" s="1" customFormat="1" ht="15" customHeight="1">
      <c r="A91" s="62" t="s">
        <v>417</v>
      </c>
      <c r="B91" s="63" t="s">
        <v>22</v>
      </c>
      <c r="C91" s="63">
        <v>0</v>
      </c>
      <c r="D91" s="63">
        <v>18</v>
      </c>
      <c r="E91" s="63" t="s">
        <v>29</v>
      </c>
      <c r="F91" s="63" t="s">
        <v>20</v>
      </c>
      <c r="G91" s="157" t="s">
        <v>12</v>
      </c>
      <c r="H91" s="63">
        <v>11270</v>
      </c>
      <c r="I91" s="63" t="s">
        <v>76</v>
      </c>
      <c r="J91" s="113" t="s">
        <v>83</v>
      </c>
      <c r="K91" s="161">
        <v>162</v>
      </c>
      <c r="L91" s="113"/>
      <c r="M91" s="64">
        <f>675000</f>
        <v>675000</v>
      </c>
      <c r="N91" s="64"/>
      <c r="O91" s="64"/>
      <c r="P91" s="66">
        <f t="shared" si="3"/>
        <v>0</v>
      </c>
      <c r="Q91" s="14"/>
      <c r="R91" s="14"/>
      <c r="S91" s="14"/>
      <c r="T91" s="14"/>
    </row>
    <row r="92" spans="1:20" ht="24" customHeight="1">
      <c r="A92" s="60" t="s">
        <v>33</v>
      </c>
      <c r="B92" s="65">
        <v>15</v>
      </c>
      <c r="C92" s="65">
        <v>0</v>
      </c>
      <c r="D92" s="65"/>
      <c r="E92" s="63"/>
      <c r="F92" s="63"/>
      <c r="G92" s="63"/>
      <c r="H92" s="63"/>
      <c r="I92" s="63"/>
      <c r="J92" s="70"/>
      <c r="K92" s="68"/>
      <c r="L92" s="162"/>
      <c r="M92" s="129">
        <f>M94+M102</f>
        <v>11004076</v>
      </c>
      <c r="N92" s="129">
        <f>N94+N102</f>
        <v>999076</v>
      </c>
      <c r="O92" s="129">
        <f>O94+O102</f>
        <v>1004075.67</v>
      </c>
      <c r="P92" s="61">
        <f t="shared" si="3"/>
        <v>9.124579564881232</v>
      </c>
      <c r="Q92" s="14"/>
      <c r="R92" s="14"/>
      <c r="S92" s="14"/>
      <c r="T92" s="14"/>
    </row>
    <row r="93" spans="1:20" ht="16.5" customHeight="1">
      <c r="A93" s="60" t="s">
        <v>186</v>
      </c>
      <c r="B93" s="60">
        <v>15</v>
      </c>
      <c r="C93" s="60">
        <v>0</v>
      </c>
      <c r="D93" s="60">
        <v>12</v>
      </c>
      <c r="E93" s="63"/>
      <c r="F93" s="63"/>
      <c r="G93" s="63"/>
      <c r="H93" s="63"/>
      <c r="I93" s="63"/>
      <c r="J93" s="70"/>
      <c r="K93" s="68"/>
      <c r="L93" s="162"/>
      <c r="M93" s="129">
        <f>M94+M102</f>
        <v>11004076</v>
      </c>
      <c r="N93" s="129">
        <f>N94+N102</f>
        <v>999076</v>
      </c>
      <c r="O93" s="129">
        <f>O94+O102</f>
        <v>1004075.67</v>
      </c>
      <c r="P93" s="61">
        <f t="shared" si="3"/>
        <v>9.124579564881232</v>
      </c>
      <c r="Q93" s="14"/>
      <c r="R93" s="14"/>
      <c r="S93" s="14"/>
      <c r="T93" s="14"/>
    </row>
    <row r="94" spans="1:20" ht="24.75" customHeight="1">
      <c r="A94" s="60" t="s">
        <v>28</v>
      </c>
      <c r="B94" s="65">
        <v>15</v>
      </c>
      <c r="C94" s="65">
        <v>0</v>
      </c>
      <c r="D94" s="60">
        <v>12</v>
      </c>
      <c r="E94" s="65">
        <v>819</v>
      </c>
      <c r="F94" s="63"/>
      <c r="G94" s="63"/>
      <c r="H94" s="63"/>
      <c r="I94" s="63"/>
      <c r="J94" s="70"/>
      <c r="K94" s="68"/>
      <c r="L94" s="162"/>
      <c r="M94" s="129">
        <f aca="true" t="shared" si="5" ref="M94:O99">M95</f>
        <v>1004076</v>
      </c>
      <c r="N94" s="129">
        <f t="shared" si="5"/>
        <v>999076</v>
      </c>
      <c r="O94" s="129">
        <f t="shared" si="5"/>
        <v>1004075.67</v>
      </c>
      <c r="P94" s="61">
        <f t="shared" si="3"/>
        <v>99.99996713396197</v>
      </c>
      <c r="Q94" s="14"/>
      <c r="R94" s="14"/>
      <c r="S94" s="14"/>
      <c r="T94" s="14"/>
    </row>
    <row r="95" spans="1:20" ht="16.5" customHeight="1">
      <c r="A95" s="60" t="s">
        <v>35</v>
      </c>
      <c r="B95" s="65" t="s">
        <v>34</v>
      </c>
      <c r="C95" s="65">
        <v>0</v>
      </c>
      <c r="D95" s="60">
        <v>12</v>
      </c>
      <c r="E95" s="65" t="s">
        <v>29</v>
      </c>
      <c r="F95" s="65" t="s">
        <v>17</v>
      </c>
      <c r="G95" s="65" t="s">
        <v>0</v>
      </c>
      <c r="H95" s="63"/>
      <c r="I95" s="63"/>
      <c r="J95" s="70"/>
      <c r="K95" s="68"/>
      <c r="L95" s="162"/>
      <c r="M95" s="129">
        <f t="shared" si="5"/>
        <v>1004076</v>
      </c>
      <c r="N95" s="129">
        <f t="shared" si="5"/>
        <v>999076</v>
      </c>
      <c r="O95" s="129">
        <f t="shared" si="5"/>
        <v>1004075.67</v>
      </c>
      <c r="P95" s="61">
        <f t="shared" si="3"/>
        <v>99.99996713396197</v>
      </c>
      <c r="Q95" s="14"/>
      <c r="R95" s="14"/>
      <c r="S95" s="14"/>
      <c r="T95" s="14"/>
    </row>
    <row r="96" spans="1:20" ht="16.5" customHeight="1">
      <c r="A96" s="60" t="s">
        <v>36</v>
      </c>
      <c r="B96" s="65" t="s">
        <v>34</v>
      </c>
      <c r="C96" s="65">
        <v>0</v>
      </c>
      <c r="D96" s="60">
        <v>12</v>
      </c>
      <c r="E96" s="65" t="s">
        <v>29</v>
      </c>
      <c r="F96" s="65" t="s">
        <v>17</v>
      </c>
      <c r="G96" s="65" t="s">
        <v>12</v>
      </c>
      <c r="H96" s="63"/>
      <c r="I96" s="63"/>
      <c r="J96" s="162"/>
      <c r="K96" s="162"/>
      <c r="L96" s="162"/>
      <c r="M96" s="129">
        <f t="shared" si="5"/>
        <v>1004076</v>
      </c>
      <c r="N96" s="129">
        <f t="shared" si="5"/>
        <v>999076</v>
      </c>
      <c r="O96" s="129">
        <f t="shared" si="5"/>
        <v>1004075.67</v>
      </c>
      <c r="P96" s="61">
        <f t="shared" si="3"/>
        <v>99.99996713396197</v>
      </c>
      <c r="Q96" s="14"/>
      <c r="R96" s="14"/>
      <c r="S96" s="14"/>
      <c r="T96" s="14"/>
    </row>
    <row r="97" spans="1:20" ht="24" customHeight="1">
      <c r="A97" s="60" t="s">
        <v>79</v>
      </c>
      <c r="B97" s="65" t="s">
        <v>34</v>
      </c>
      <c r="C97" s="65">
        <v>0</v>
      </c>
      <c r="D97" s="60">
        <v>12</v>
      </c>
      <c r="E97" s="65" t="s">
        <v>29</v>
      </c>
      <c r="F97" s="65" t="s">
        <v>17</v>
      </c>
      <c r="G97" s="65" t="s">
        <v>12</v>
      </c>
      <c r="H97" s="65">
        <v>11270</v>
      </c>
      <c r="I97" s="65" t="s">
        <v>0</v>
      </c>
      <c r="J97" s="163"/>
      <c r="K97" s="163"/>
      <c r="L97" s="162"/>
      <c r="M97" s="129">
        <f t="shared" si="5"/>
        <v>1004076</v>
      </c>
      <c r="N97" s="129">
        <f t="shared" si="5"/>
        <v>999076</v>
      </c>
      <c r="O97" s="129">
        <f t="shared" si="5"/>
        <v>1004075.67</v>
      </c>
      <c r="P97" s="61">
        <f t="shared" si="3"/>
        <v>99.99996713396197</v>
      </c>
      <c r="Q97" s="14"/>
      <c r="R97" s="14"/>
      <c r="S97" s="14"/>
      <c r="T97" s="14"/>
    </row>
    <row r="98" spans="1:20" ht="24.75" customHeight="1">
      <c r="A98" s="60" t="s">
        <v>75</v>
      </c>
      <c r="B98" s="65" t="s">
        <v>34</v>
      </c>
      <c r="C98" s="65">
        <v>0</v>
      </c>
      <c r="D98" s="60">
        <v>12</v>
      </c>
      <c r="E98" s="65" t="s">
        <v>29</v>
      </c>
      <c r="F98" s="65" t="s">
        <v>17</v>
      </c>
      <c r="G98" s="65" t="s">
        <v>12</v>
      </c>
      <c r="H98" s="65">
        <v>11270</v>
      </c>
      <c r="I98" s="65" t="s">
        <v>76</v>
      </c>
      <c r="J98" s="163"/>
      <c r="K98" s="163"/>
      <c r="L98" s="162"/>
      <c r="M98" s="129">
        <f t="shared" si="5"/>
        <v>1004076</v>
      </c>
      <c r="N98" s="129">
        <f t="shared" si="5"/>
        <v>999076</v>
      </c>
      <c r="O98" s="129">
        <f t="shared" si="5"/>
        <v>1004075.67</v>
      </c>
      <c r="P98" s="61">
        <f t="shared" si="3"/>
        <v>99.99996713396197</v>
      </c>
      <c r="Q98" s="14"/>
      <c r="R98" s="14"/>
      <c r="S98" s="14"/>
      <c r="T98" s="14"/>
    </row>
    <row r="99" spans="1:20" ht="15.75" customHeight="1">
      <c r="A99" s="60" t="s">
        <v>69</v>
      </c>
      <c r="B99" s="63"/>
      <c r="C99" s="63"/>
      <c r="D99" s="63"/>
      <c r="E99" s="63"/>
      <c r="F99" s="63"/>
      <c r="G99" s="63"/>
      <c r="H99" s="63"/>
      <c r="I99" s="63"/>
      <c r="J99" s="162"/>
      <c r="K99" s="162"/>
      <c r="L99" s="162"/>
      <c r="M99" s="117">
        <f t="shared" si="5"/>
        <v>1004076</v>
      </c>
      <c r="N99" s="117">
        <f t="shared" si="5"/>
        <v>999076</v>
      </c>
      <c r="O99" s="117">
        <f t="shared" si="5"/>
        <v>1004075.67</v>
      </c>
      <c r="P99" s="61">
        <f t="shared" si="3"/>
        <v>99.99996713396197</v>
      </c>
      <c r="Q99" s="14"/>
      <c r="R99" s="14"/>
      <c r="S99" s="14"/>
      <c r="T99" s="14"/>
    </row>
    <row r="100" spans="1:20" s="10" customFormat="1" ht="24.75" customHeight="1">
      <c r="A100" s="62" t="s">
        <v>347</v>
      </c>
      <c r="B100" s="63" t="s">
        <v>34</v>
      </c>
      <c r="C100" s="63">
        <v>0</v>
      </c>
      <c r="D100" s="63">
        <v>12</v>
      </c>
      <c r="E100" s="63" t="s">
        <v>29</v>
      </c>
      <c r="F100" s="63" t="s">
        <v>17</v>
      </c>
      <c r="G100" s="63" t="s">
        <v>12</v>
      </c>
      <c r="H100" s="63">
        <v>11270</v>
      </c>
      <c r="I100" s="63" t="s">
        <v>76</v>
      </c>
      <c r="J100" s="162" t="s">
        <v>113</v>
      </c>
      <c r="K100" s="164">
        <v>1119.92</v>
      </c>
      <c r="L100" s="162"/>
      <c r="M100" s="40">
        <v>1004076</v>
      </c>
      <c r="N100" s="51">
        <f>1004075.67-4999.67</f>
        <v>999076</v>
      </c>
      <c r="O100" s="40">
        <v>1004075.67</v>
      </c>
      <c r="P100" s="66">
        <f t="shared" si="3"/>
        <v>99.99996713396197</v>
      </c>
      <c r="Q100" s="14"/>
      <c r="R100" s="14"/>
      <c r="S100" s="14"/>
      <c r="T100" s="14"/>
    </row>
    <row r="101" spans="1:16" s="14" customFormat="1" ht="23.25" customHeight="1">
      <c r="A101" s="71" t="s">
        <v>200</v>
      </c>
      <c r="B101" s="62"/>
      <c r="C101" s="62"/>
      <c r="D101" s="62"/>
      <c r="E101" s="62"/>
      <c r="F101" s="62"/>
      <c r="G101" s="62"/>
      <c r="H101" s="62"/>
      <c r="I101" s="62"/>
      <c r="J101" s="72"/>
      <c r="K101" s="68"/>
      <c r="L101" s="68"/>
      <c r="M101" s="143">
        <v>4999.67</v>
      </c>
      <c r="N101" s="50">
        <v>0</v>
      </c>
      <c r="O101" s="53">
        <v>4999.67</v>
      </c>
      <c r="P101" s="69">
        <f t="shared" si="3"/>
        <v>100</v>
      </c>
    </row>
    <row r="102" spans="1:20" s="10" customFormat="1" ht="17.25" customHeight="1">
      <c r="A102" s="60" t="s">
        <v>143</v>
      </c>
      <c r="B102" s="60" t="s">
        <v>34</v>
      </c>
      <c r="C102" s="60">
        <v>0</v>
      </c>
      <c r="D102" s="60">
        <v>12</v>
      </c>
      <c r="E102" s="60">
        <v>815</v>
      </c>
      <c r="F102" s="62"/>
      <c r="G102" s="62"/>
      <c r="H102" s="63"/>
      <c r="I102" s="63"/>
      <c r="J102" s="162"/>
      <c r="K102" s="164"/>
      <c r="L102" s="162"/>
      <c r="M102" s="129">
        <f>M103</f>
        <v>10000000</v>
      </c>
      <c r="N102" s="129">
        <f aca="true" t="shared" si="6" ref="N102:O105">N103</f>
        <v>0</v>
      </c>
      <c r="O102" s="129">
        <f t="shared" si="6"/>
        <v>0</v>
      </c>
      <c r="P102" s="61">
        <f t="shared" si="3"/>
        <v>0</v>
      </c>
      <c r="Q102" s="14"/>
      <c r="R102" s="14"/>
      <c r="S102" s="14"/>
      <c r="T102" s="14"/>
    </row>
    <row r="103" spans="1:20" s="10" customFormat="1" ht="16.5" customHeight="1">
      <c r="A103" s="60" t="s">
        <v>35</v>
      </c>
      <c r="B103" s="60" t="s">
        <v>34</v>
      </c>
      <c r="C103" s="60">
        <v>0</v>
      </c>
      <c r="D103" s="60">
        <v>12</v>
      </c>
      <c r="E103" s="60">
        <v>815</v>
      </c>
      <c r="F103" s="60" t="s">
        <v>17</v>
      </c>
      <c r="G103" s="60" t="s">
        <v>0</v>
      </c>
      <c r="H103" s="63"/>
      <c r="I103" s="63"/>
      <c r="J103" s="162"/>
      <c r="K103" s="164"/>
      <c r="L103" s="162"/>
      <c r="M103" s="129">
        <f>M104</f>
        <v>10000000</v>
      </c>
      <c r="N103" s="129">
        <f t="shared" si="6"/>
        <v>0</v>
      </c>
      <c r="O103" s="129">
        <f t="shared" si="6"/>
        <v>0</v>
      </c>
      <c r="P103" s="61">
        <f t="shared" si="3"/>
        <v>0</v>
      </c>
      <c r="Q103" s="14"/>
      <c r="R103" s="14"/>
      <c r="S103" s="14"/>
      <c r="T103" s="14"/>
    </row>
    <row r="104" spans="1:20" s="10" customFormat="1" ht="16.5" customHeight="1">
      <c r="A104" s="60" t="s">
        <v>36</v>
      </c>
      <c r="B104" s="60" t="s">
        <v>34</v>
      </c>
      <c r="C104" s="60">
        <v>0</v>
      </c>
      <c r="D104" s="60">
        <v>12</v>
      </c>
      <c r="E104" s="60">
        <v>815</v>
      </c>
      <c r="F104" s="60" t="s">
        <v>17</v>
      </c>
      <c r="G104" s="60" t="s">
        <v>12</v>
      </c>
      <c r="H104" s="63"/>
      <c r="I104" s="63"/>
      <c r="J104" s="162"/>
      <c r="K104" s="164"/>
      <c r="L104" s="162"/>
      <c r="M104" s="129">
        <f>M105</f>
        <v>10000000</v>
      </c>
      <c r="N104" s="129">
        <f t="shared" si="6"/>
        <v>0</v>
      </c>
      <c r="O104" s="129">
        <f t="shared" si="6"/>
        <v>0</v>
      </c>
      <c r="P104" s="61">
        <f t="shared" si="3"/>
        <v>0</v>
      </c>
      <c r="Q104" s="14"/>
      <c r="R104" s="14"/>
      <c r="S104" s="14"/>
      <c r="T104" s="14"/>
    </row>
    <row r="105" spans="1:20" s="10" customFormat="1" ht="26.25" customHeight="1">
      <c r="A105" s="60" t="s">
        <v>79</v>
      </c>
      <c r="B105" s="65" t="s">
        <v>34</v>
      </c>
      <c r="C105" s="65">
        <v>0</v>
      </c>
      <c r="D105" s="60">
        <v>12</v>
      </c>
      <c r="E105" s="60">
        <v>815</v>
      </c>
      <c r="F105" s="65" t="s">
        <v>17</v>
      </c>
      <c r="G105" s="65" t="s">
        <v>12</v>
      </c>
      <c r="H105" s="65">
        <v>11270</v>
      </c>
      <c r="I105" s="65" t="s">
        <v>0</v>
      </c>
      <c r="J105" s="162"/>
      <c r="K105" s="164"/>
      <c r="L105" s="162"/>
      <c r="M105" s="129">
        <f>M106</f>
        <v>10000000</v>
      </c>
      <c r="N105" s="129">
        <f t="shared" si="6"/>
        <v>0</v>
      </c>
      <c r="O105" s="129">
        <f t="shared" si="6"/>
        <v>0</v>
      </c>
      <c r="P105" s="61">
        <f t="shared" si="3"/>
        <v>0</v>
      </c>
      <c r="Q105" s="14"/>
      <c r="R105" s="14"/>
      <c r="S105" s="14"/>
      <c r="T105" s="14"/>
    </row>
    <row r="106" spans="1:20" s="10" customFormat="1" ht="25.5" customHeight="1">
      <c r="A106" s="60" t="s">
        <v>75</v>
      </c>
      <c r="B106" s="65" t="s">
        <v>34</v>
      </c>
      <c r="C106" s="65">
        <v>0</v>
      </c>
      <c r="D106" s="60">
        <v>12</v>
      </c>
      <c r="E106" s="60">
        <v>815</v>
      </c>
      <c r="F106" s="65" t="s">
        <v>17</v>
      </c>
      <c r="G106" s="65" t="s">
        <v>12</v>
      </c>
      <c r="H106" s="65">
        <v>11270</v>
      </c>
      <c r="I106" s="65" t="s">
        <v>76</v>
      </c>
      <c r="J106" s="162"/>
      <c r="K106" s="164"/>
      <c r="L106" s="162"/>
      <c r="M106" s="129">
        <f>M108</f>
        <v>10000000</v>
      </c>
      <c r="N106" s="129">
        <f>N108</f>
        <v>0</v>
      </c>
      <c r="O106" s="129">
        <f>O108</f>
        <v>0</v>
      </c>
      <c r="P106" s="61">
        <f t="shared" si="3"/>
        <v>0</v>
      </c>
      <c r="Q106" s="14"/>
      <c r="R106" s="14"/>
      <c r="S106" s="14"/>
      <c r="T106" s="14"/>
    </row>
    <row r="107" spans="1:20" s="10" customFormat="1" ht="12.75" customHeight="1">
      <c r="A107" s="60" t="s">
        <v>166</v>
      </c>
      <c r="B107" s="65"/>
      <c r="C107" s="65"/>
      <c r="D107" s="60"/>
      <c r="E107" s="60"/>
      <c r="F107" s="65"/>
      <c r="G107" s="65"/>
      <c r="H107" s="65"/>
      <c r="I107" s="65"/>
      <c r="J107" s="162"/>
      <c r="K107" s="164"/>
      <c r="L107" s="162"/>
      <c r="M107" s="129">
        <f>M108</f>
        <v>10000000</v>
      </c>
      <c r="N107" s="129">
        <f>N108</f>
        <v>0</v>
      </c>
      <c r="O107" s="129">
        <f>O108</f>
        <v>0</v>
      </c>
      <c r="P107" s="61">
        <f t="shared" si="3"/>
        <v>0</v>
      </c>
      <c r="Q107" s="14"/>
      <c r="R107" s="14"/>
      <c r="S107" s="14"/>
      <c r="T107" s="14"/>
    </row>
    <row r="108" spans="1:16" s="14" customFormat="1" ht="72" customHeight="1">
      <c r="A108" s="62" t="s">
        <v>429</v>
      </c>
      <c r="B108" s="63">
        <v>15</v>
      </c>
      <c r="C108" s="63">
        <v>0</v>
      </c>
      <c r="D108" s="63">
        <v>12</v>
      </c>
      <c r="E108" s="62">
        <v>815</v>
      </c>
      <c r="F108" s="63" t="s">
        <v>17</v>
      </c>
      <c r="G108" s="63" t="s">
        <v>12</v>
      </c>
      <c r="H108" s="63">
        <v>11270</v>
      </c>
      <c r="I108" s="63" t="s">
        <v>76</v>
      </c>
      <c r="J108" s="165"/>
      <c r="K108" s="166"/>
      <c r="L108" s="165"/>
      <c r="M108" s="40">
        <v>10000000</v>
      </c>
      <c r="N108" s="64"/>
      <c r="O108" s="64"/>
      <c r="P108" s="66">
        <f t="shared" si="3"/>
        <v>0</v>
      </c>
    </row>
    <row r="109" spans="1:20" ht="24.75" customHeight="1">
      <c r="A109" s="60" t="s">
        <v>37</v>
      </c>
      <c r="B109" s="65">
        <v>16</v>
      </c>
      <c r="C109" s="65">
        <v>0</v>
      </c>
      <c r="D109" s="65">
        <v>14</v>
      </c>
      <c r="E109" s="65"/>
      <c r="F109" s="65"/>
      <c r="G109" s="65"/>
      <c r="H109" s="65"/>
      <c r="I109" s="65"/>
      <c r="J109" s="163"/>
      <c r="K109" s="163"/>
      <c r="L109" s="162"/>
      <c r="M109" s="129">
        <f>M111</f>
        <v>39162330</v>
      </c>
      <c r="N109" s="129">
        <f>N111</f>
        <v>0</v>
      </c>
      <c r="O109" s="129">
        <f>O111</f>
        <v>38987866.17</v>
      </c>
      <c r="P109" s="61">
        <f t="shared" si="3"/>
        <v>99.55451110799588</v>
      </c>
      <c r="Q109" s="14"/>
      <c r="R109" s="14"/>
      <c r="S109" s="14"/>
      <c r="T109" s="14"/>
    </row>
    <row r="110" spans="1:20" ht="17.25" customHeight="1">
      <c r="A110" s="60" t="s">
        <v>185</v>
      </c>
      <c r="B110" s="60">
        <v>16</v>
      </c>
      <c r="C110" s="60">
        <v>0</v>
      </c>
      <c r="D110" s="60">
        <v>14</v>
      </c>
      <c r="E110" s="65"/>
      <c r="F110" s="65"/>
      <c r="G110" s="65"/>
      <c r="H110" s="65"/>
      <c r="I110" s="65"/>
      <c r="J110" s="163"/>
      <c r="K110" s="163"/>
      <c r="L110" s="162"/>
      <c r="M110" s="129">
        <f>M111</f>
        <v>39162330</v>
      </c>
      <c r="N110" s="129">
        <f>N111</f>
        <v>0</v>
      </c>
      <c r="O110" s="129">
        <f>O111</f>
        <v>38987866.17</v>
      </c>
      <c r="P110" s="61">
        <f t="shared" si="3"/>
        <v>99.55451110799588</v>
      </c>
      <c r="Q110" s="14"/>
      <c r="R110" s="14"/>
      <c r="S110" s="14"/>
      <c r="T110" s="14"/>
    </row>
    <row r="111" spans="1:20" ht="24.75" customHeight="1">
      <c r="A111" s="60" t="s">
        <v>28</v>
      </c>
      <c r="B111" s="65" t="s">
        <v>38</v>
      </c>
      <c r="C111" s="65">
        <v>0</v>
      </c>
      <c r="D111" s="60">
        <v>14</v>
      </c>
      <c r="E111" s="65" t="s">
        <v>29</v>
      </c>
      <c r="F111" s="63" t="s">
        <v>0</v>
      </c>
      <c r="G111" s="63" t="s">
        <v>0</v>
      </c>
      <c r="H111" s="63"/>
      <c r="I111" s="63"/>
      <c r="J111" s="162"/>
      <c r="K111" s="162"/>
      <c r="L111" s="162"/>
      <c r="M111" s="129">
        <f aca="true" t="shared" si="7" ref="M111:O116">M112</f>
        <v>39162330</v>
      </c>
      <c r="N111" s="129">
        <f t="shared" si="7"/>
        <v>0</v>
      </c>
      <c r="O111" s="129">
        <f t="shared" si="7"/>
        <v>38987866.17</v>
      </c>
      <c r="P111" s="61">
        <f t="shared" si="3"/>
        <v>99.55451110799588</v>
      </c>
      <c r="Q111" s="14"/>
      <c r="R111" s="14"/>
      <c r="S111" s="14"/>
      <c r="T111" s="14"/>
    </row>
    <row r="112" spans="1:20" s="1" customFormat="1" ht="15" customHeight="1">
      <c r="A112" s="60" t="s">
        <v>18</v>
      </c>
      <c r="B112" s="65" t="s">
        <v>38</v>
      </c>
      <c r="C112" s="65">
        <v>0</v>
      </c>
      <c r="D112" s="60">
        <v>14</v>
      </c>
      <c r="E112" s="65" t="s">
        <v>29</v>
      </c>
      <c r="F112" s="65" t="s">
        <v>19</v>
      </c>
      <c r="G112" s="65" t="s">
        <v>0</v>
      </c>
      <c r="H112" s="65"/>
      <c r="I112" s="65"/>
      <c r="J112" s="163"/>
      <c r="K112" s="163"/>
      <c r="L112" s="162"/>
      <c r="M112" s="129">
        <f>M113+M122</f>
        <v>39162330</v>
      </c>
      <c r="N112" s="129">
        <f>N113+N122</f>
        <v>0</v>
      </c>
      <c r="O112" s="129">
        <f>O113+O122</f>
        <v>38987866.17</v>
      </c>
      <c r="P112" s="61">
        <f t="shared" si="3"/>
        <v>99.55451110799588</v>
      </c>
      <c r="Q112" s="14"/>
      <c r="R112" s="14"/>
      <c r="S112" s="14"/>
      <c r="T112" s="14"/>
    </row>
    <row r="113" spans="1:20" ht="15.75" customHeight="1">
      <c r="A113" s="60" t="s">
        <v>39</v>
      </c>
      <c r="B113" s="65" t="s">
        <v>38</v>
      </c>
      <c r="C113" s="65">
        <v>0</v>
      </c>
      <c r="D113" s="60">
        <v>14</v>
      </c>
      <c r="E113" s="65" t="s">
        <v>29</v>
      </c>
      <c r="F113" s="65" t="s">
        <v>19</v>
      </c>
      <c r="G113" s="65" t="s">
        <v>12</v>
      </c>
      <c r="H113" s="65"/>
      <c r="I113" s="65"/>
      <c r="J113" s="163"/>
      <c r="K113" s="163"/>
      <c r="L113" s="162"/>
      <c r="M113" s="129">
        <f t="shared" si="7"/>
        <v>9162330</v>
      </c>
      <c r="N113" s="129">
        <f t="shared" si="7"/>
        <v>0</v>
      </c>
      <c r="O113" s="129">
        <f t="shared" si="7"/>
        <v>8987866.17</v>
      </c>
      <c r="P113" s="61">
        <f t="shared" si="3"/>
        <v>98.09585738562134</v>
      </c>
      <c r="Q113" s="14"/>
      <c r="R113" s="14"/>
      <c r="S113" s="14"/>
      <c r="T113" s="14"/>
    </row>
    <row r="114" spans="1:20" ht="24.75" customHeight="1">
      <c r="A114" s="60" t="s">
        <v>79</v>
      </c>
      <c r="B114" s="65" t="s">
        <v>38</v>
      </c>
      <c r="C114" s="65">
        <v>0</v>
      </c>
      <c r="D114" s="60">
        <v>14</v>
      </c>
      <c r="E114" s="65" t="s">
        <v>29</v>
      </c>
      <c r="F114" s="65" t="s">
        <v>19</v>
      </c>
      <c r="G114" s="65" t="s">
        <v>12</v>
      </c>
      <c r="H114" s="65">
        <v>11270</v>
      </c>
      <c r="I114" s="65" t="s">
        <v>0</v>
      </c>
      <c r="J114" s="163"/>
      <c r="K114" s="163"/>
      <c r="L114" s="162"/>
      <c r="M114" s="129">
        <f t="shared" si="7"/>
        <v>9162330</v>
      </c>
      <c r="N114" s="129">
        <f t="shared" si="7"/>
        <v>0</v>
      </c>
      <c r="O114" s="129">
        <f t="shared" si="7"/>
        <v>8987866.17</v>
      </c>
      <c r="P114" s="61">
        <f t="shared" si="3"/>
        <v>98.09585738562134</v>
      </c>
      <c r="Q114" s="14"/>
      <c r="R114" s="14"/>
      <c r="S114" s="14"/>
      <c r="T114" s="14"/>
    </row>
    <row r="115" spans="1:20" ht="26.25" customHeight="1">
      <c r="A115" s="60" t="s">
        <v>75</v>
      </c>
      <c r="B115" s="65" t="s">
        <v>38</v>
      </c>
      <c r="C115" s="65">
        <v>0</v>
      </c>
      <c r="D115" s="60">
        <v>14</v>
      </c>
      <c r="E115" s="65" t="s">
        <v>29</v>
      </c>
      <c r="F115" s="65" t="s">
        <v>19</v>
      </c>
      <c r="G115" s="65" t="s">
        <v>12</v>
      </c>
      <c r="H115" s="65">
        <v>11270</v>
      </c>
      <c r="I115" s="65" t="s">
        <v>76</v>
      </c>
      <c r="J115" s="163"/>
      <c r="K115" s="163"/>
      <c r="L115" s="162"/>
      <c r="M115" s="129">
        <f>M116+M119</f>
        <v>9162330</v>
      </c>
      <c r="N115" s="129">
        <f>N116+N119</f>
        <v>0</v>
      </c>
      <c r="O115" s="129">
        <f>O116+O119</f>
        <v>8987866.17</v>
      </c>
      <c r="P115" s="61">
        <f t="shared" si="3"/>
        <v>98.09585738562134</v>
      </c>
      <c r="Q115" s="14"/>
      <c r="R115" s="14"/>
      <c r="S115" s="14"/>
      <c r="T115" s="14"/>
    </row>
    <row r="116" spans="1:20" ht="14.25" customHeight="1">
      <c r="A116" s="73" t="s">
        <v>68</v>
      </c>
      <c r="B116" s="63"/>
      <c r="C116" s="63"/>
      <c r="D116" s="63"/>
      <c r="E116" s="63"/>
      <c r="F116" s="63"/>
      <c r="G116" s="63"/>
      <c r="H116" s="63"/>
      <c r="I116" s="63"/>
      <c r="J116" s="167"/>
      <c r="K116" s="168"/>
      <c r="L116" s="169"/>
      <c r="M116" s="129">
        <f t="shared" si="7"/>
        <v>9038494.68</v>
      </c>
      <c r="N116" s="129">
        <f t="shared" si="7"/>
        <v>0</v>
      </c>
      <c r="O116" s="129">
        <f t="shared" si="7"/>
        <v>8864030.85</v>
      </c>
      <c r="P116" s="61">
        <f t="shared" si="3"/>
        <v>98.0697689584744</v>
      </c>
      <c r="Q116" s="14"/>
      <c r="R116" s="14"/>
      <c r="S116" s="14"/>
      <c r="T116" s="14"/>
    </row>
    <row r="117" spans="1:20" s="10" customFormat="1" ht="13.5" customHeight="1">
      <c r="A117" s="62" t="s">
        <v>358</v>
      </c>
      <c r="B117" s="63" t="s">
        <v>38</v>
      </c>
      <c r="C117" s="63">
        <v>0</v>
      </c>
      <c r="D117" s="63">
        <v>14</v>
      </c>
      <c r="E117" s="63" t="s">
        <v>29</v>
      </c>
      <c r="F117" s="63" t="s">
        <v>19</v>
      </c>
      <c r="G117" s="63" t="s">
        <v>12</v>
      </c>
      <c r="H117" s="63">
        <v>11270</v>
      </c>
      <c r="I117" s="63" t="s">
        <v>76</v>
      </c>
      <c r="J117" s="167" t="s">
        <v>58</v>
      </c>
      <c r="K117" s="168">
        <v>150</v>
      </c>
      <c r="L117" s="169"/>
      <c r="M117" s="64">
        <f>10218650-123835.32-1056320</f>
        <v>9038494.68</v>
      </c>
      <c r="N117" s="41">
        <v>0</v>
      </c>
      <c r="O117" s="40">
        <v>8864030.85</v>
      </c>
      <c r="P117" s="66">
        <f t="shared" si="3"/>
        <v>98.0697689584744</v>
      </c>
      <c r="Q117" s="14"/>
      <c r="R117" s="14"/>
      <c r="S117" s="14"/>
      <c r="T117" s="14"/>
    </row>
    <row r="118" spans="1:16" s="14" customFormat="1" ht="24" customHeight="1">
      <c r="A118" s="71" t="s">
        <v>235</v>
      </c>
      <c r="B118" s="63"/>
      <c r="C118" s="63"/>
      <c r="D118" s="63"/>
      <c r="E118" s="63"/>
      <c r="F118" s="63"/>
      <c r="G118" s="63"/>
      <c r="H118" s="63"/>
      <c r="I118" s="63"/>
      <c r="J118" s="170"/>
      <c r="K118" s="171"/>
      <c r="L118" s="172"/>
      <c r="M118" s="67">
        <f>579317.28+5779442+2505271.57</f>
        <v>8864030.85</v>
      </c>
      <c r="N118" s="50">
        <v>0</v>
      </c>
      <c r="O118" s="53">
        <v>8864030.85</v>
      </c>
      <c r="P118" s="69">
        <f t="shared" si="3"/>
        <v>100</v>
      </c>
    </row>
    <row r="119" spans="1:16" s="14" customFormat="1" ht="14.25" customHeight="1">
      <c r="A119" s="73" t="s">
        <v>207</v>
      </c>
      <c r="B119" s="63"/>
      <c r="C119" s="63"/>
      <c r="D119" s="63"/>
      <c r="E119" s="63"/>
      <c r="F119" s="63"/>
      <c r="G119" s="63"/>
      <c r="H119" s="63"/>
      <c r="I119" s="63"/>
      <c r="J119" s="170"/>
      <c r="K119" s="171"/>
      <c r="L119" s="172"/>
      <c r="M119" s="117">
        <f>M120</f>
        <v>123835.32</v>
      </c>
      <c r="N119" s="117">
        <f>N120</f>
        <v>0</v>
      </c>
      <c r="O119" s="117">
        <f>O120</f>
        <v>123835.32</v>
      </c>
      <c r="P119" s="61">
        <f t="shared" si="3"/>
        <v>100</v>
      </c>
    </row>
    <row r="120" spans="1:16" s="14" customFormat="1" ht="12.75" customHeight="1">
      <c r="A120" s="62" t="s">
        <v>418</v>
      </c>
      <c r="B120" s="63" t="s">
        <v>38</v>
      </c>
      <c r="C120" s="63">
        <v>0</v>
      </c>
      <c r="D120" s="63">
        <v>14</v>
      </c>
      <c r="E120" s="63" t="s">
        <v>29</v>
      </c>
      <c r="F120" s="63" t="s">
        <v>19</v>
      </c>
      <c r="G120" s="63" t="s">
        <v>12</v>
      </c>
      <c r="H120" s="63">
        <v>11270</v>
      </c>
      <c r="I120" s="63" t="s">
        <v>76</v>
      </c>
      <c r="J120" s="170"/>
      <c r="K120" s="171"/>
      <c r="L120" s="172"/>
      <c r="M120" s="64">
        <v>123835.32</v>
      </c>
      <c r="N120" s="41">
        <v>0</v>
      </c>
      <c r="O120" s="40">
        <v>123835.32</v>
      </c>
      <c r="P120" s="66">
        <f t="shared" si="3"/>
        <v>100</v>
      </c>
    </row>
    <row r="121" spans="1:16" s="14" customFormat="1" ht="26.25" customHeight="1">
      <c r="A121" s="71" t="s">
        <v>200</v>
      </c>
      <c r="B121" s="63"/>
      <c r="C121" s="63"/>
      <c r="D121" s="63"/>
      <c r="E121" s="63"/>
      <c r="F121" s="63"/>
      <c r="G121" s="63"/>
      <c r="H121" s="63"/>
      <c r="I121" s="63"/>
      <c r="J121" s="170"/>
      <c r="K121" s="171"/>
      <c r="L121" s="172"/>
      <c r="M121" s="67">
        <v>123835.32</v>
      </c>
      <c r="N121" s="50">
        <v>0</v>
      </c>
      <c r="O121" s="53">
        <v>123835.32</v>
      </c>
      <c r="P121" s="69">
        <f t="shared" si="3"/>
        <v>100</v>
      </c>
    </row>
    <row r="122" spans="1:16" s="14" customFormat="1" ht="14.25" customHeight="1">
      <c r="A122" s="60" t="s">
        <v>40</v>
      </c>
      <c r="B122" s="65" t="s">
        <v>38</v>
      </c>
      <c r="C122" s="65">
        <v>0</v>
      </c>
      <c r="D122" s="60">
        <v>14</v>
      </c>
      <c r="E122" s="65" t="s">
        <v>29</v>
      </c>
      <c r="F122" s="65" t="s">
        <v>19</v>
      </c>
      <c r="G122" s="115" t="s">
        <v>13</v>
      </c>
      <c r="H122" s="63"/>
      <c r="I122" s="63"/>
      <c r="J122" s="170"/>
      <c r="K122" s="171"/>
      <c r="L122" s="172"/>
      <c r="M122" s="117">
        <f>M123</f>
        <v>30000000</v>
      </c>
      <c r="N122" s="117">
        <f aca="true" t="shared" si="8" ref="N122:O125">N123</f>
        <v>0</v>
      </c>
      <c r="O122" s="117">
        <f t="shared" si="8"/>
        <v>30000000</v>
      </c>
      <c r="P122" s="61">
        <f t="shared" si="3"/>
        <v>100</v>
      </c>
    </row>
    <row r="123" spans="1:16" s="14" customFormat="1" ht="27" customHeight="1">
      <c r="A123" s="60" t="s">
        <v>79</v>
      </c>
      <c r="B123" s="65">
        <v>16</v>
      </c>
      <c r="C123" s="65">
        <v>0</v>
      </c>
      <c r="D123" s="60">
        <v>14</v>
      </c>
      <c r="E123" s="65" t="s">
        <v>29</v>
      </c>
      <c r="F123" s="65" t="s">
        <v>19</v>
      </c>
      <c r="G123" s="115" t="s">
        <v>13</v>
      </c>
      <c r="H123" s="65">
        <v>11270</v>
      </c>
      <c r="I123" s="65"/>
      <c r="J123" s="170"/>
      <c r="K123" s="171"/>
      <c r="L123" s="172"/>
      <c r="M123" s="117">
        <f>M124</f>
        <v>30000000</v>
      </c>
      <c r="N123" s="117">
        <f t="shared" si="8"/>
        <v>0</v>
      </c>
      <c r="O123" s="117">
        <f t="shared" si="8"/>
        <v>30000000</v>
      </c>
      <c r="P123" s="61">
        <f t="shared" si="3"/>
        <v>100</v>
      </c>
    </row>
    <row r="124" spans="1:16" s="14" customFormat="1" ht="25.5" customHeight="1">
      <c r="A124" s="60" t="s">
        <v>75</v>
      </c>
      <c r="B124" s="65">
        <v>16</v>
      </c>
      <c r="C124" s="65">
        <v>0</v>
      </c>
      <c r="D124" s="60">
        <v>14</v>
      </c>
      <c r="E124" s="65" t="s">
        <v>29</v>
      </c>
      <c r="F124" s="65" t="s">
        <v>19</v>
      </c>
      <c r="G124" s="115" t="s">
        <v>13</v>
      </c>
      <c r="H124" s="65">
        <v>11270</v>
      </c>
      <c r="I124" s="65">
        <v>522</v>
      </c>
      <c r="J124" s="170"/>
      <c r="K124" s="171"/>
      <c r="L124" s="172"/>
      <c r="M124" s="117">
        <f>M125</f>
        <v>30000000</v>
      </c>
      <c r="N124" s="117">
        <f t="shared" si="8"/>
        <v>0</v>
      </c>
      <c r="O124" s="117">
        <f t="shared" si="8"/>
        <v>30000000</v>
      </c>
      <c r="P124" s="61">
        <f t="shared" si="3"/>
        <v>100</v>
      </c>
    </row>
    <row r="125" spans="1:16" s="14" customFormat="1" ht="12.75">
      <c r="A125" s="73" t="s">
        <v>313</v>
      </c>
      <c r="B125" s="63"/>
      <c r="C125" s="63"/>
      <c r="D125" s="63"/>
      <c r="E125" s="63"/>
      <c r="F125" s="63"/>
      <c r="G125" s="63"/>
      <c r="H125" s="63"/>
      <c r="I125" s="63"/>
      <c r="J125" s="170"/>
      <c r="K125" s="171"/>
      <c r="L125" s="172"/>
      <c r="M125" s="117">
        <f>M126</f>
        <v>30000000</v>
      </c>
      <c r="N125" s="117">
        <f t="shared" si="8"/>
        <v>0</v>
      </c>
      <c r="O125" s="117">
        <f t="shared" si="8"/>
        <v>30000000</v>
      </c>
      <c r="P125" s="61">
        <f t="shared" si="3"/>
        <v>100</v>
      </c>
    </row>
    <row r="126" spans="1:16" s="14" customFormat="1" ht="24" customHeight="1">
      <c r="A126" s="62" t="s">
        <v>314</v>
      </c>
      <c r="B126" s="63">
        <v>16</v>
      </c>
      <c r="C126" s="63">
        <v>0</v>
      </c>
      <c r="D126" s="62">
        <v>14</v>
      </c>
      <c r="E126" s="63" t="s">
        <v>29</v>
      </c>
      <c r="F126" s="63" t="s">
        <v>19</v>
      </c>
      <c r="G126" s="157" t="s">
        <v>13</v>
      </c>
      <c r="H126" s="63">
        <v>11270</v>
      </c>
      <c r="I126" s="63">
        <v>522</v>
      </c>
      <c r="J126" s="170"/>
      <c r="K126" s="171"/>
      <c r="L126" s="172"/>
      <c r="M126" s="64">
        <v>30000000</v>
      </c>
      <c r="N126" s="41">
        <v>0</v>
      </c>
      <c r="O126" s="41">
        <v>30000000</v>
      </c>
      <c r="P126" s="66">
        <f t="shared" si="3"/>
        <v>100</v>
      </c>
    </row>
    <row r="127" spans="1:16" s="14" customFormat="1" ht="25.5" customHeight="1">
      <c r="A127" s="71" t="s">
        <v>200</v>
      </c>
      <c r="B127" s="63"/>
      <c r="C127" s="63"/>
      <c r="D127" s="63"/>
      <c r="E127" s="63"/>
      <c r="F127" s="63"/>
      <c r="G127" s="63"/>
      <c r="H127" s="63"/>
      <c r="I127" s="63"/>
      <c r="J127" s="170"/>
      <c r="K127" s="171"/>
      <c r="L127" s="172"/>
      <c r="M127" s="67">
        <v>30000000</v>
      </c>
      <c r="N127" s="50">
        <v>0</v>
      </c>
      <c r="O127" s="50">
        <v>30000000</v>
      </c>
      <c r="P127" s="69">
        <f t="shared" si="3"/>
        <v>100</v>
      </c>
    </row>
    <row r="128" spans="1:20" s="10" customFormat="1" ht="36.75" customHeight="1">
      <c r="A128" s="60" t="s">
        <v>41</v>
      </c>
      <c r="B128" s="65" t="s">
        <v>42</v>
      </c>
      <c r="C128" s="65"/>
      <c r="D128" s="65"/>
      <c r="E128" s="65" t="s">
        <v>0</v>
      </c>
      <c r="F128" s="65"/>
      <c r="G128" s="65"/>
      <c r="H128" s="65"/>
      <c r="I128" s="65"/>
      <c r="J128" s="118"/>
      <c r="K128" s="118"/>
      <c r="L128" s="116"/>
      <c r="M128" s="129">
        <f>M129</f>
        <v>126306050.36</v>
      </c>
      <c r="N128" s="129">
        <f>N129</f>
        <v>28013740.5</v>
      </c>
      <c r="O128" s="129">
        <f>O129</f>
        <v>25130383.49</v>
      </c>
      <c r="P128" s="61">
        <f t="shared" si="3"/>
        <v>19.896420969837063</v>
      </c>
      <c r="Q128" s="14"/>
      <c r="R128" s="14"/>
      <c r="S128" s="14"/>
      <c r="T128" s="14"/>
    </row>
    <row r="129" spans="1:20" s="10" customFormat="1" ht="27.75" customHeight="1">
      <c r="A129" s="60" t="s">
        <v>43</v>
      </c>
      <c r="B129" s="65" t="s">
        <v>42</v>
      </c>
      <c r="C129" s="65" t="s">
        <v>10</v>
      </c>
      <c r="D129" s="65"/>
      <c r="E129" s="65" t="s">
        <v>0</v>
      </c>
      <c r="F129" s="65"/>
      <c r="G129" s="65"/>
      <c r="H129" s="65"/>
      <c r="I129" s="65"/>
      <c r="J129" s="118"/>
      <c r="K129" s="118"/>
      <c r="L129" s="116"/>
      <c r="M129" s="129">
        <f>M131+M143</f>
        <v>126306050.36</v>
      </c>
      <c r="N129" s="129">
        <f>N131+N143</f>
        <v>28013740.5</v>
      </c>
      <c r="O129" s="129">
        <f>O131+O143</f>
        <v>25130383.49</v>
      </c>
      <c r="P129" s="61">
        <f t="shared" si="3"/>
        <v>19.896420969837063</v>
      </c>
      <c r="Q129" s="14"/>
      <c r="R129" s="14"/>
      <c r="S129" s="14"/>
      <c r="T129" s="14"/>
    </row>
    <row r="130" spans="1:20" s="10" customFormat="1" ht="107.25" customHeight="1">
      <c r="A130" s="60" t="s">
        <v>184</v>
      </c>
      <c r="B130" s="60" t="s">
        <v>42</v>
      </c>
      <c r="C130" s="60" t="s">
        <v>10</v>
      </c>
      <c r="D130" s="60">
        <v>81</v>
      </c>
      <c r="E130" s="65"/>
      <c r="F130" s="65"/>
      <c r="G130" s="65"/>
      <c r="H130" s="65"/>
      <c r="I130" s="65"/>
      <c r="J130" s="118"/>
      <c r="K130" s="118"/>
      <c r="L130" s="116"/>
      <c r="M130" s="129">
        <f>M131+M143</f>
        <v>126306050.36</v>
      </c>
      <c r="N130" s="129">
        <f>N131+N143</f>
        <v>28013740.5</v>
      </c>
      <c r="O130" s="129">
        <f>O131+O143</f>
        <v>25130383.49</v>
      </c>
      <c r="P130" s="61">
        <f t="shared" si="3"/>
        <v>19.896420969837063</v>
      </c>
      <c r="Q130" s="14"/>
      <c r="R130" s="14"/>
      <c r="S130" s="14"/>
      <c r="T130" s="14"/>
    </row>
    <row r="131" spans="1:20" s="10" customFormat="1" ht="14.25" customHeight="1">
      <c r="A131" s="60" t="s">
        <v>122</v>
      </c>
      <c r="B131" s="65" t="s">
        <v>42</v>
      </c>
      <c r="C131" s="65" t="s">
        <v>10</v>
      </c>
      <c r="D131" s="60">
        <v>81</v>
      </c>
      <c r="E131" s="65">
        <v>817</v>
      </c>
      <c r="F131" s="65"/>
      <c r="G131" s="65"/>
      <c r="H131" s="65"/>
      <c r="I131" s="65"/>
      <c r="J131" s="118"/>
      <c r="K131" s="118"/>
      <c r="L131" s="116"/>
      <c r="M131" s="129">
        <f>M132</f>
        <v>18951146.22</v>
      </c>
      <c r="N131" s="129">
        <f aca="true" t="shared" si="9" ref="N131:O134">N132</f>
        <v>843732.51</v>
      </c>
      <c r="O131" s="129">
        <f t="shared" si="9"/>
        <v>144887.2</v>
      </c>
      <c r="P131" s="61">
        <f t="shared" si="3"/>
        <v>0.7645300095204479</v>
      </c>
      <c r="Q131" s="14"/>
      <c r="R131" s="14"/>
      <c r="S131" s="14"/>
      <c r="T131" s="14"/>
    </row>
    <row r="132" spans="1:20" s="10" customFormat="1" ht="14.25" customHeight="1">
      <c r="A132" s="60" t="s">
        <v>16</v>
      </c>
      <c r="B132" s="65" t="s">
        <v>42</v>
      </c>
      <c r="C132" s="65" t="s">
        <v>10</v>
      </c>
      <c r="D132" s="60">
        <v>81</v>
      </c>
      <c r="E132" s="65" t="s">
        <v>123</v>
      </c>
      <c r="F132" s="65" t="s">
        <v>14</v>
      </c>
      <c r="G132" s="65" t="s">
        <v>0</v>
      </c>
      <c r="H132" s="65" t="s">
        <v>0</v>
      </c>
      <c r="I132" s="65" t="s">
        <v>0</v>
      </c>
      <c r="J132" s="118"/>
      <c r="K132" s="118"/>
      <c r="L132" s="116"/>
      <c r="M132" s="129">
        <f>M133</f>
        <v>18951146.22</v>
      </c>
      <c r="N132" s="129">
        <f t="shared" si="9"/>
        <v>843732.51</v>
      </c>
      <c r="O132" s="129">
        <f t="shared" si="9"/>
        <v>144887.2</v>
      </c>
      <c r="P132" s="61">
        <f t="shared" si="3"/>
        <v>0.7645300095204479</v>
      </c>
      <c r="Q132" s="14"/>
      <c r="R132" s="14"/>
      <c r="S132" s="14"/>
      <c r="T132" s="14"/>
    </row>
    <row r="133" spans="1:20" s="10" customFormat="1" ht="12.75" customHeight="1">
      <c r="A133" s="60" t="s">
        <v>124</v>
      </c>
      <c r="B133" s="65" t="s">
        <v>42</v>
      </c>
      <c r="C133" s="65" t="s">
        <v>10</v>
      </c>
      <c r="D133" s="60">
        <v>81</v>
      </c>
      <c r="E133" s="65" t="s">
        <v>123</v>
      </c>
      <c r="F133" s="65" t="s">
        <v>14</v>
      </c>
      <c r="G133" s="65" t="s">
        <v>15</v>
      </c>
      <c r="H133" s="65" t="s">
        <v>0</v>
      </c>
      <c r="I133" s="65" t="s">
        <v>0</v>
      </c>
      <c r="J133" s="118"/>
      <c r="K133" s="118"/>
      <c r="L133" s="116"/>
      <c r="M133" s="129">
        <f>M134</f>
        <v>18951146.22</v>
      </c>
      <c r="N133" s="129">
        <f t="shared" si="9"/>
        <v>843732.51</v>
      </c>
      <c r="O133" s="129">
        <f t="shared" si="9"/>
        <v>144887.2</v>
      </c>
      <c r="P133" s="61">
        <f t="shared" si="3"/>
        <v>0.7645300095204479</v>
      </c>
      <c r="Q133" s="14"/>
      <c r="R133" s="14"/>
      <c r="S133" s="14"/>
      <c r="T133" s="14"/>
    </row>
    <row r="134" spans="1:20" s="10" customFormat="1" ht="14.25" customHeight="1">
      <c r="A134" s="60" t="s">
        <v>125</v>
      </c>
      <c r="B134" s="65" t="s">
        <v>42</v>
      </c>
      <c r="C134" s="65" t="s">
        <v>10</v>
      </c>
      <c r="D134" s="60">
        <v>81</v>
      </c>
      <c r="E134" s="65" t="s">
        <v>123</v>
      </c>
      <c r="F134" s="65" t="s">
        <v>14</v>
      </c>
      <c r="G134" s="65" t="s">
        <v>15</v>
      </c>
      <c r="H134" s="65" t="s">
        <v>197</v>
      </c>
      <c r="I134" s="65" t="s">
        <v>0</v>
      </c>
      <c r="J134" s="118"/>
      <c r="K134" s="118"/>
      <c r="L134" s="116"/>
      <c r="M134" s="129">
        <f>M135</f>
        <v>18951146.22</v>
      </c>
      <c r="N134" s="129">
        <f t="shared" si="9"/>
        <v>843732.51</v>
      </c>
      <c r="O134" s="129">
        <f t="shared" si="9"/>
        <v>144887.2</v>
      </c>
      <c r="P134" s="61">
        <f t="shared" si="3"/>
        <v>0.7645300095204479</v>
      </c>
      <c r="Q134" s="14"/>
      <c r="R134" s="14"/>
      <c r="S134" s="14"/>
      <c r="T134" s="14"/>
    </row>
    <row r="135" spans="1:20" s="10" customFormat="1" ht="24" customHeight="1">
      <c r="A135" s="60" t="s">
        <v>75</v>
      </c>
      <c r="B135" s="65" t="s">
        <v>42</v>
      </c>
      <c r="C135" s="65" t="s">
        <v>10</v>
      </c>
      <c r="D135" s="60">
        <v>81</v>
      </c>
      <c r="E135" s="65" t="s">
        <v>123</v>
      </c>
      <c r="F135" s="65" t="s">
        <v>14</v>
      </c>
      <c r="G135" s="65" t="s">
        <v>15</v>
      </c>
      <c r="H135" s="65" t="s">
        <v>197</v>
      </c>
      <c r="I135" s="65" t="s">
        <v>76</v>
      </c>
      <c r="J135" s="118"/>
      <c r="K135" s="118"/>
      <c r="L135" s="116"/>
      <c r="M135" s="129">
        <f>M136+M140</f>
        <v>18951146.22</v>
      </c>
      <c r="N135" s="129">
        <f>N136+N140</f>
        <v>843732.51</v>
      </c>
      <c r="O135" s="129">
        <f>O136+O140</f>
        <v>144887.2</v>
      </c>
      <c r="P135" s="61">
        <f t="shared" si="3"/>
        <v>0.7645300095204479</v>
      </c>
      <c r="Q135" s="14"/>
      <c r="R135" s="14"/>
      <c r="S135" s="14"/>
      <c r="T135" s="14"/>
    </row>
    <row r="136" spans="1:20" s="10" customFormat="1" ht="15.75" customHeight="1">
      <c r="A136" s="130" t="s">
        <v>141</v>
      </c>
      <c r="B136" s="65"/>
      <c r="C136" s="65"/>
      <c r="D136" s="65"/>
      <c r="E136" s="65"/>
      <c r="F136" s="65"/>
      <c r="G136" s="65"/>
      <c r="H136" s="65"/>
      <c r="I136" s="65"/>
      <c r="J136" s="118"/>
      <c r="K136" s="118"/>
      <c r="L136" s="116"/>
      <c r="M136" s="129">
        <f>M137+M138+M139</f>
        <v>938323.9299999999</v>
      </c>
      <c r="N136" s="129">
        <f>N137+N138+N139</f>
        <v>843732.51</v>
      </c>
      <c r="O136" s="129">
        <f>O137+O138+O139</f>
        <v>144887.2</v>
      </c>
      <c r="P136" s="61">
        <f aca="true" t="shared" si="10" ref="P136:P199">O136/M136*100</f>
        <v>15.441064153612711</v>
      </c>
      <c r="Q136" s="14"/>
      <c r="R136" s="14"/>
      <c r="S136" s="14"/>
      <c r="T136" s="14"/>
    </row>
    <row r="137" spans="1:20" s="10" customFormat="1" ht="27" customHeight="1">
      <c r="A137" s="131" t="s">
        <v>348</v>
      </c>
      <c r="B137" s="63" t="s">
        <v>42</v>
      </c>
      <c r="C137" s="63" t="s">
        <v>10</v>
      </c>
      <c r="D137" s="63">
        <v>81</v>
      </c>
      <c r="E137" s="63" t="s">
        <v>123</v>
      </c>
      <c r="F137" s="63" t="s">
        <v>14</v>
      </c>
      <c r="G137" s="63" t="s">
        <v>15</v>
      </c>
      <c r="H137" s="63" t="s">
        <v>197</v>
      </c>
      <c r="I137" s="63">
        <v>522</v>
      </c>
      <c r="J137" s="116" t="s">
        <v>63</v>
      </c>
      <c r="K137" s="116">
        <v>1.156</v>
      </c>
      <c r="L137" s="116">
        <v>2016</v>
      </c>
      <c r="M137" s="40">
        <v>465651</v>
      </c>
      <c r="N137" s="64">
        <v>463323.17</v>
      </c>
      <c r="O137" s="64"/>
      <c r="P137" s="66">
        <f t="shared" si="10"/>
        <v>0</v>
      </c>
      <c r="Q137" s="14"/>
      <c r="R137" s="14"/>
      <c r="S137" s="14"/>
      <c r="T137" s="14"/>
    </row>
    <row r="138" spans="1:20" s="10" customFormat="1" ht="23.25" customHeight="1">
      <c r="A138" s="131" t="s">
        <v>349</v>
      </c>
      <c r="B138" s="63" t="s">
        <v>42</v>
      </c>
      <c r="C138" s="63" t="s">
        <v>10</v>
      </c>
      <c r="D138" s="63">
        <v>81</v>
      </c>
      <c r="E138" s="63" t="s">
        <v>123</v>
      </c>
      <c r="F138" s="63" t="s">
        <v>14</v>
      </c>
      <c r="G138" s="63" t="s">
        <v>15</v>
      </c>
      <c r="H138" s="63" t="s">
        <v>197</v>
      </c>
      <c r="I138" s="63">
        <v>522</v>
      </c>
      <c r="J138" s="116" t="s">
        <v>63</v>
      </c>
      <c r="K138" s="116">
        <v>1.407</v>
      </c>
      <c r="L138" s="116">
        <v>2016</v>
      </c>
      <c r="M138" s="40">
        <v>387351</v>
      </c>
      <c r="N138" s="64">
        <v>310412.2</v>
      </c>
      <c r="O138" s="64">
        <v>144887.2</v>
      </c>
      <c r="P138" s="66">
        <f t="shared" si="10"/>
        <v>37.40462784399679</v>
      </c>
      <c r="Q138" s="14"/>
      <c r="R138" s="14"/>
      <c r="S138" s="14"/>
      <c r="T138" s="14"/>
    </row>
    <row r="139" spans="1:20" s="10" customFormat="1" ht="25.5" customHeight="1">
      <c r="A139" s="131" t="s">
        <v>350</v>
      </c>
      <c r="B139" s="63" t="s">
        <v>42</v>
      </c>
      <c r="C139" s="63" t="s">
        <v>10</v>
      </c>
      <c r="D139" s="63">
        <v>81</v>
      </c>
      <c r="E139" s="63" t="s">
        <v>123</v>
      </c>
      <c r="F139" s="63" t="s">
        <v>14</v>
      </c>
      <c r="G139" s="63" t="s">
        <v>15</v>
      </c>
      <c r="H139" s="63" t="s">
        <v>197</v>
      </c>
      <c r="I139" s="63">
        <v>522</v>
      </c>
      <c r="J139" s="116" t="s">
        <v>63</v>
      </c>
      <c r="K139" s="116">
        <v>1.252</v>
      </c>
      <c r="L139" s="116">
        <v>2016</v>
      </c>
      <c r="M139" s="40">
        <v>85321.93</v>
      </c>
      <c r="N139" s="64">
        <v>69997.14</v>
      </c>
      <c r="O139" s="64"/>
      <c r="P139" s="66">
        <f t="shared" si="10"/>
        <v>0</v>
      </c>
      <c r="Q139" s="14"/>
      <c r="R139" s="14"/>
      <c r="S139" s="14"/>
      <c r="T139" s="14"/>
    </row>
    <row r="140" spans="1:20" s="10" customFormat="1" ht="12.75">
      <c r="A140" s="130" t="s">
        <v>61</v>
      </c>
      <c r="B140" s="63"/>
      <c r="C140" s="63"/>
      <c r="D140" s="63"/>
      <c r="E140" s="63"/>
      <c r="F140" s="63"/>
      <c r="G140" s="63"/>
      <c r="H140" s="63"/>
      <c r="I140" s="65"/>
      <c r="J140" s="118"/>
      <c r="K140" s="118"/>
      <c r="L140" s="116"/>
      <c r="M140" s="129">
        <f>M141+M142</f>
        <v>18012822.29</v>
      </c>
      <c r="N140" s="129">
        <f>N141+N142</f>
        <v>0</v>
      </c>
      <c r="O140" s="129">
        <f>O141+O142</f>
        <v>0</v>
      </c>
      <c r="P140" s="61">
        <f t="shared" si="10"/>
        <v>0</v>
      </c>
      <c r="Q140" s="14"/>
      <c r="R140" s="14"/>
      <c r="S140" s="14"/>
      <c r="T140" s="14"/>
    </row>
    <row r="141" spans="1:16" s="14" customFormat="1" ht="26.25" customHeight="1">
      <c r="A141" s="173" t="s">
        <v>351</v>
      </c>
      <c r="B141" s="63" t="s">
        <v>42</v>
      </c>
      <c r="C141" s="63" t="s">
        <v>10</v>
      </c>
      <c r="D141" s="63">
        <v>81</v>
      </c>
      <c r="E141" s="63" t="s">
        <v>123</v>
      </c>
      <c r="F141" s="63" t="s">
        <v>14</v>
      </c>
      <c r="G141" s="63" t="s">
        <v>15</v>
      </c>
      <c r="H141" s="63" t="s">
        <v>197</v>
      </c>
      <c r="I141" s="63">
        <v>522</v>
      </c>
      <c r="J141" s="116" t="s">
        <v>63</v>
      </c>
      <c r="K141" s="116">
        <v>4.159</v>
      </c>
      <c r="L141" s="116">
        <v>2016</v>
      </c>
      <c r="M141" s="40">
        <v>10727116.64</v>
      </c>
      <c r="N141" s="64"/>
      <c r="O141" s="64"/>
      <c r="P141" s="66">
        <f t="shared" si="10"/>
        <v>0</v>
      </c>
    </row>
    <row r="142" spans="1:20" s="10" customFormat="1" ht="24" customHeight="1">
      <c r="A142" s="173" t="s">
        <v>352</v>
      </c>
      <c r="B142" s="63" t="s">
        <v>42</v>
      </c>
      <c r="C142" s="63" t="s">
        <v>10</v>
      </c>
      <c r="D142" s="63">
        <v>81</v>
      </c>
      <c r="E142" s="63" t="s">
        <v>123</v>
      </c>
      <c r="F142" s="63" t="s">
        <v>14</v>
      </c>
      <c r="G142" s="63" t="s">
        <v>15</v>
      </c>
      <c r="H142" s="63" t="s">
        <v>197</v>
      </c>
      <c r="I142" s="63">
        <v>522</v>
      </c>
      <c r="J142" s="116" t="s">
        <v>262</v>
      </c>
      <c r="K142" s="116">
        <v>1</v>
      </c>
      <c r="L142" s="116">
        <v>2016</v>
      </c>
      <c r="M142" s="40">
        <v>7285705.65</v>
      </c>
      <c r="N142" s="64"/>
      <c r="O142" s="64"/>
      <c r="P142" s="66">
        <f t="shared" si="10"/>
        <v>0</v>
      </c>
      <c r="Q142" s="14"/>
      <c r="R142" s="14"/>
      <c r="S142" s="14"/>
      <c r="T142" s="14"/>
    </row>
    <row r="143" spans="1:20" ht="24" customHeight="1">
      <c r="A143" s="60" t="s">
        <v>28</v>
      </c>
      <c r="B143" s="60">
        <v>17</v>
      </c>
      <c r="C143" s="60">
        <v>7</v>
      </c>
      <c r="D143" s="60">
        <v>81</v>
      </c>
      <c r="E143" s="60">
        <v>819</v>
      </c>
      <c r="F143" s="74"/>
      <c r="G143" s="75"/>
      <c r="H143" s="63"/>
      <c r="I143" s="63"/>
      <c r="J143" s="68"/>
      <c r="K143" s="68"/>
      <c r="L143" s="116"/>
      <c r="M143" s="129">
        <f>M144+M186+M223</f>
        <v>107354904.14</v>
      </c>
      <c r="N143" s="129">
        <f>N144+N186+N223</f>
        <v>27170007.99</v>
      </c>
      <c r="O143" s="129">
        <f>O144+O186+O223</f>
        <v>24985496.29</v>
      </c>
      <c r="P143" s="61">
        <f t="shared" si="10"/>
        <v>23.273735364168154</v>
      </c>
      <c r="Q143" s="14"/>
      <c r="R143" s="14"/>
      <c r="S143" s="14"/>
      <c r="T143" s="14"/>
    </row>
    <row r="144" spans="1:20" ht="14.25" customHeight="1">
      <c r="A144" s="60" t="s">
        <v>16</v>
      </c>
      <c r="B144" s="60">
        <v>17</v>
      </c>
      <c r="C144" s="60">
        <v>7</v>
      </c>
      <c r="D144" s="60">
        <v>81</v>
      </c>
      <c r="E144" s="60">
        <v>819</v>
      </c>
      <c r="F144" s="74" t="s">
        <v>14</v>
      </c>
      <c r="G144" s="74"/>
      <c r="H144" s="74"/>
      <c r="I144" s="74"/>
      <c r="J144" s="68"/>
      <c r="K144" s="68"/>
      <c r="L144" s="68"/>
      <c r="M144" s="129">
        <f>M145</f>
        <v>77069230</v>
      </c>
      <c r="N144" s="129">
        <f>N145</f>
        <v>16503204.54</v>
      </c>
      <c r="O144" s="129">
        <f>O145</f>
        <v>13980256.84</v>
      </c>
      <c r="P144" s="61">
        <f t="shared" si="10"/>
        <v>18.139868323583876</v>
      </c>
      <c r="Q144" s="14"/>
      <c r="R144" s="14"/>
      <c r="S144" s="14"/>
      <c r="T144" s="14"/>
    </row>
    <row r="145" spans="1:20" ht="15" customHeight="1">
      <c r="A145" s="60" t="s">
        <v>48</v>
      </c>
      <c r="B145" s="60">
        <v>17</v>
      </c>
      <c r="C145" s="60">
        <v>7</v>
      </c>
      <c r="D145" s="60">
        <v>81</v>
      </c>
      <c r="E145" s="60">
        <v>819</v>
      </c>
      <c r="F145" s="74" t="s">
        <v>14</v>
      </c>
      <c r="G145" s="74" t="s">
        <v>20</v>
      </c>
      <c r="H145" s="74"/>
      <c r="I145" s="74"/>
      <c r="J145" s="68"/>
      <c r="K145" s="68"/>
      <c r="L145" s="68"/>
      <c r="M145" s="129">
        <f>M146+M147</f>
        <v>77069230</v>
      </c>
      <c r="N145" s="129">
        <f>N146+N147</f>
        <v>16503204.54</v>
      </c>
      <c r="O145" s="129">
        <f>O146+O147</f>
        <v>13980256.84</v>
      </c>
      <c r="P145" s="61">
        <f t="shared" si="10"/>
        <v>18.139868323583876</v>
      </c>
      <c r="Q145" s="14"/>
      <c r="R145" s="14"/>
      <c r="S145" s="14"/>
      <c r="T145" s="14"/>
    </row>
    <row r="146" spans="1:20" ht="46.5" customHeight="1">
      <c r="A146" s="60" t="s">
        <v>142</v>
      </c>
      <c r="B146" s="60">
        <v>17</v>
      </c>
      <c r="C146" s="60">
        <v>7</v>
      </c>
      <c r="D146" s="60">
        <v>81</v>
      </c>
      <c r="E146" s="60">
        <v>819</v>
      </c>
      <c r="F146" s="74" t="s">
        <v>14</v>
      </c>
      <c r="G146" s="74" t="s">
        <v>20</v>
      </c>
      <c r="H146" s="74" t="s">
        <v>198</v>
      </c>
      <c r="I146" s="74"/>
      <c r="J146" s="68"/>
      <c r="K146" s="68"/>
      <c r="L146" s="68"/>
      <c r="M146" s="129">
        <f aca="true" t="shared" si="11" ref="M146:O147">M148</f>
        <v>27232969</v>
      </c>
      <c r="N146" s="129">
        <f t="shared" si="11"/>
        <v>0</v>
      </c>
      <c r="O146" s="129">
        <f t="shared" si="11"/>
        <v>0</v>
      </c>
      <c r="P146" s="61">
        <f t="shared" si="10"/>
        <v>0</v>
      </c>
      <c r="Q146" s="14"/>
      <c r="R146" s="14"/>
      <c r="S146" s="14"/>
      <c r="T146" s="14"/>
    </row>
    <row r="147" spans="1:20" ht="15" customHeight="1">
      <c r="A147" s="60" t="s">
        <v>125</v>
      </c>
      <c r="B147" s="174">
        <v>17</v>
      </c>
      <c r="C147" s="174">
        <v>7</v>
      </c>
      <c r="D147" s="174">
        <v>81</v>
      </c>
      <c r="E147" s="174">
        <v>819</v>
      </c>
      <c r="F147" s="175" t="s">
        <v>14</v>
      </c>
      <c r="G147" s="175" t="s">
        <v>20</v>
      </c>
      <c r="H147" s="74" t="s">
        <v>197</v>
      </c>
      <c r="I147" s="74"/>
      <c r="J147" s="68"/>
      <c r="K147" s="68"/>
      <c r="L147" s="68"/>
      <c r="M147" s="129">
        <f t="shared" si="11"/>
        <v>49836261</v>
      </c>
      <c r="N147" s="129">
        <f t="shared" si="11"/>
        <v>16503204.54</v>
      </c>
      <c r="O147" s="129">
        <f t="shared" si="11"/>
        <v>13980256.84</v>
      </c>
      <c r="P147" s="61">
        <f t="shared" si="10"/>
        <v>28.052379049864918</v>
      </c>
      <c r="Q147" s="14"/>
      <c r="R147" s="14"/>
      <c r="S147" s="14"/>
      <c r="T147" s="14"/>
    </row>
    <row r="148" spans="1:20" ht="14.25" customHeight="1">
      <c r="A148" s="199" t="s">
        <v>308</v>
      </c>
      <c r="B148" s="60">
        <v>17</v>
      </c>
      <c r="C148" s="60">
        <v>7</v>
      </c>
      <c r="D148" s="60">
        <v>81</v>
      </c>
      <c r="E148" s="60">
        <v>819</v>
      </c>
      <c r="F148" s="74" t="s">
        <v>14</v>
      </c>
      <c r="G148" s="74" t="s">
        <v>20</v>
      </c>
      <c r="H148" s="74" t="s">
        <v>198</v>
      </c>
      <c r="I148" s="74" t="s">
        <v>76</v>
      </c>
      <c r="J148" s="76"/>
      <c r="K148" s="176"/>
      <c r="L148" s="68"/>
      <c r="M148" s="129">
        <f>M152+M156+M158+M159+M160+M161+M163+M165+M166+M167+M169+M182</f>
        <v>27232969</v>
      </c>
      <c r="N148" s="129">
        <f>N152+N156+N158+N159+N160+N161+N163+N165+N166+N167+N169+N182</f>
        <v>0</v>
      </c>
      <c r="O148" s="129">
        <f>O152+O156+O158+O159+O160+O161+O163+O165+O166+O167+O169+O182</f>
        <v>0</v>
      </c>
      <c r="P148" s="61">
        <f t="shared" si="10"/>
        <v>0</v>
      </c>
      <c r="Q148" s="14"/>
      <c r="R148" s="14"/>
      <c r="S148" s="14"/>
      <c r="T148" s="14"/>
    </row>
    <row r="149" spans="1:20" ht="13.5" customHeight="1">
      <c r="A149" s="200"/>
      <c r="B149" s="60">
        <v>17</v>
      </c>
      <c r="C149" s="60">
        <v>7</v>
      </c>
      <c r="D149" s="60">
        <v>81</v>
      </c>
      <c r="E149" s="60">
        <v>819</v>
      </c>
      <c r="F149" s="74" t="s">
        <v>14</v>
      </c>
      <c r="G149" s="74" t="s">
        <v>20</v>
      </c>
      <c r="H149" s="74" t="s">
        <v>197</v>
      </c>
      <c r="I149" s="74" t="s">
        <v>76</v>
      </c>
      <c r="J149" s="76"/>
      <c r="K149" s="176"/>
      <c r="L149" s="68"/>
      <c r="M149" s="129">
        <f>M151+M154+M171+M172+M173+M175+M176+M178+M179+M180+M184+M185</f>
        <v>49836261</v>
      </c>
      <c r="N149" s="129">
        <f>N151+N154+N171+N172+N173+N175+N176+N178+N179+N180+N184+N185</f>
        <v>16503204.54</v>
      </c>
      <c r="O149" s="129">
        <f>O151+O154+O171+O172+O173+O175+O176+O178+O179+O180+O184+O185</f>
        <v>13980256.84</v>
      </c>
      <c r="P149" s="61">
        <f t="shared" si="10"/>
        <v>28.052379049864918</v>
      </c>
      <c r="Q149" s="14"/>
      <c r="R149" s="14"/>
      <c r="S149" s="14"/>
      <c r="T149" s="14"/>
    </row>
    <row r="150" spans="1:20" ht="15" customHeight="1">
      <c r="A150" s="60" t="s">
        <v>90</v>
      </c>
      <c r="B150" s="62"/>
      <c r="C150" s="62"/>
      <c r="D150" s="62"/>
      <c r="E150" s="62"/>
      <c r="F150" s="75"/>
      <c r="G150" s="75"/>
      <c r="H150" s="75"/>
      <c r="I150" s="75"/>
      <c r="J150" s="68"/>
      <c r="K150" s="68"/>
      <c r="L150" s="68"/>
      <c r="M150" s="177">
        <f>M151+M152</f>
        <v>3407735</v>
      </c>
      <c r="N150" s="177">
        <f>N151+N152</f>
        <v>1062942</v>
      </c>
      <c r="O150" s="177">
        <f>O151+O152</f>
        <v>1062942</v>
      </c>
      <c r="P150" s="61">
        <f t="shared" si="10"/>
        <v>31.19203811329226</v>
      </c>
      <c r="Q150" s="14"/>
      <c r="R150" s="14"/>
      <c r="S150" s="14"/>
      <c r="T150" s="14"/>
    </row>
    <row r="151" spans="1:20" ht="48" customHeight="1">
      <c r="A151" s="178" t="s">
        <v>126</v>
      </c>
      <c r="B151" s="62">
        <v>17</v>
      </c>
      <c r="C151" s="62">
        <v>7</v>
      </c>
      <c r="D151" s="62">
        <v>81</v>
      </c>
      <c r="E151" s="62">
        <v>819</v>
      </c>
      <c r="F151" s="75" t="s">
        <v>14</v>
      </c>
      <c r="G151" s="75" t="s">
        <v>20</v>
      </c>
      <c r="H151" s="75" t="s">
        <v>197</v>
      </c>
      <c r="I151" s="75" t="s">
        <v>76</v>
      </c>
      <c r="J151" s="68" t="s">
        <v>63</v>
      </c>
      <c r="K151" s="68">
        <v>0.547</v>
      </c>
      <c r="L151" s="68">
        <v>2016</v>
      </c>
      <c r="M151" s="49">
        <v>1062942</v>
      </c>
      <c r="N151" s="42">
        <v>1062942</v>
      </c>
      <c r="O151" s="42">
        <v>1062942</v>
      </c>
      <c r="P151" s="66">
        <f t="shared" si="10"/>
        <v>100</v>
      </c>
      <c r="Q151" s="14"/>
      <c r="R151" s="14"/>
      <c r="S151" s="14"/>
      <c r="T151" s="14"/>
    </row>
    <row r="152" spans="1:20" ht="59.25" customHeight="1">
      <c r="A152" s="62" t="s">
        <v>127</v>
      </c>
      <c r="B152" s="62">
        <v>17</v>
      </c>
      <c r="C152" s="62">
        <v>7</v>
      </c>
      <c r="D152" s="62">
        <v>81</v>
      </c>
      <c r="E152" s="62">
        <v>819</v>
      </c>
      <c r="F152" s="75" t="s">
        <v>14</v>
      </c>
      <c r="G152" s="75" t="s">
        <v>20</v>
      </c>
      <c r="H152" s="75" t="s">
        <v>198</v>
      </c>
      <c r="I152" s="75" t="s">
        <v>76</v>
      </c>
      <c r="J152" s="68" t="s">
        <v>63</v>
      </c>
      <c r="K152" s="68">
        <v>1.004</v>
      </c>
      <c r="L152" s="68">
        <v>2016</v>
      </c>
      <c r="M152" s="49">
        <v>2344793</v>
      </c>
      <c r="N152" s="64"/>
      <c r="O152" s="64"/>
      <c r="P152" s="66">
        <f t="shared" si="10"/>
        <v>0</v>
      </c>
      <c r="Q152" s="14"/>
      <c r="R152" s="14"/>
      <c r="S152" s="14"/>
      <c r="T152" s="14"/>
    </row>
    <row r="153" spans="1:20" ht="12.75" customHeight="1">
      <c r="A153" s="60" t="s">
        <v>128</v>
      </c>
      <c r="B153" s="62"/>
      <c r="C153" s="62"/>
      <c r="D153" s="62"/>
      <c r="E153" s="62"/>
      <c r="F153" s="75"/>
      <c r="G153" s="75"/>
      <c r="H153" s="75"/>
      <c r="I153" s="75"/>
      <c r="J153" s="68"/>
      <c r="K153" s="68"/>
      <c r="L153" s="68"/>
      <c r="M153" s="177">
        <f>M154</f>
        <v>2680988</v>
      </c>
      <c r="N153" s="177">
        <f>N154</f>
        <v>2680988</v>
      </c>
      <c r="O153" s="177">
        <f>O154</f>
        <v>2680988</v>
      </c>
      <c r="P153" s="61">
        <f t="shared" si="10"/>
        <v>100</v>
      </c>
      <c r="Q153" s="14"/>
      <c r="R153" s="14"/>
      <c r="S153" s="14"/>
      <c r="T153" s="14"/>
    </row>
    <row r="154" spans="1:20" ht="46.5" customHeight="1">
      <c r="A154" s="62" t="s">
        <v>280</v>
      </c>
      <c r="B154" s="62">
        <v>17</v>
      </c>
      <c r="C154" s="62">
        <v>7</v>
      </c>
      <c r="D154" s="62">
        <v>81</v>
      </c>
      <c r="E154" s="62">
        <v>819</v>
      </c>
      <c r="F154" s="75" t="s">
        <v>14</v>
      </c>
      <c r="G154" s="75" t="s">
        <v>20</v>
      </c>
      <c r="H154" s="75" t="s">
        <v>197</v>
      </c>
      <c r="I154" s="75" t="s">
        <v>76</v>
      </c>
      <c r="J154" s="68" t="s">
        <v>63</v>
      </c>
      <c r="K154" s="68">
        <v>0.851</v>
      </c>
      <c r="L154" s="68">
        <v>2016</v>
      </c>
      <c r="M154" s="49">
        <v>2680988</v>
      </c>
      <c r="N154" s="42">
        <v>2680988</v>
      </c>
      <c r="O154" s="42">
        <v>2680988</v>
      </c>
      <c r="P154" s="66">
        <f t="shared" si="10"/>
        <v>100</v>
      </c>
      <c r="Q154" s="14"/>
      <c r="R154" s="14"/>
      <c r="S154" s="14"/>
      <c r="T154" s="14"/>
    </row>
    <row r="155" spans="1:20" ht="16.5" customHeight="1">
      <c r="A155" s="174" t="s">
        <v>129</v>
      </c>
      <c r="B155" s="77"/>
      <c r="C155" s="77"/>
      <c r="D155" s="77"/>
      <c r="E155" s="77"/>
      <c r="F155" s="179"/>
      <c r="G155" s="179"/>
      <c r="H155" s="179"/>
      <c r="I155" s="179"/>
      <c r="J155" s="78"/>
      <c r="K155" s="78"/>
      <c r="L155" s="78"/>
      <c r="M155" s="177">
        <f>M156</f>
        <v>2709895</v>
      </c>
      <c r="N155" s="177">
        <f>N156</f>
        <v>0</v>
      </c>
      <c r="O155" s="177">
        <f>O156</f>
        <v>0</v>
      </c>
      <c r="P155" s="61">
        <f t="shared" si="10"/>
        <v>0</v>
      </c>
      <c r="Q155" s="14"/>
      <c r="R155" s="14"/>
      <c r="S155" s="14"/>
      <c r="T155" s="14"/>
    </row>
    <row r="156" spans="1:20" ht="45.75" customHeight="1">
      <c r="A156" s="77" t="s">
        <v>176</v>
      </c>
      <c r="B156" s="77">
        <v>17</v>
      </c>
      <c r="C156" s="77">
        <v>7</v>
      </c>
      <c r="D156" s="77">
        <v>81</v>
      </c>
      <c r="E156" s="77">
        <v>819</v>
      </c>
      <c r="F156" s="179" t="s">
        <v>14</v>
      </c>
      <c r="G156" s="179" t="s">
        <v>20</v>
      </c>
      <c r="H156" s="75" t="s">
        <v>198</v>
      </c>
      <c r="I156" s="179" t="s">
        <v>76</v>
      </c>
      <c r="J156" s="78" t="s">
        <v>63</v>
      </c>
      <c r="K156" s="78">
        <v>1.837</v>
      </c>
      <c r="L156" s="78">
        <v>2016</v>
      </c>
      <c r="M156" s="49">
        <v>2709895</v>
      </c>
      <c r="N156" s="64"/>
      <c r="O156" s="64"/>
      <c r="P156" s="66">
        <f t="shared" si="10"/>
        <v>0</v>
      </c>
      <c r="Q156" s="14"/>
      <c r="R156" s="14"/>
      <c r="S156" s="14"/>
      <c r="T156" s="14"/>
    </row>
    <row r="157" spans="1:20" ht="12.75" customHeight="1">
      <c r="A157" s="174" t="s">
        <v>64</v>
      </c>
      <c r="B157" s="77"/>
      <c r="C157" s="77"/>
      <c r="D157" s="77"/>
      <c r="E157" s="77"/>
      <c r="F157" s="179"/>
      <c r="G157" s="179"/>
      <c r="H157" s="179"/>
      <c r="I157" s="179"/>
      <c r="J157" s="78"/>
      <c r="K157" s="78"/>
      <c r="L157" s="78"/>
      <c r="M157" s="177">
        <f>M158+M159+M160+M161</f>
        <v>7844475</v>
      </c>
      <c r="N157" s="177">
        <f>N158+N159+N160+N161</f>
        <v>0</v>
      </c>
      <c r="O157" s="177">
        <f>O158+O159+O160+O161</f>
        <v>0</v>
      </c>
      <c r="P157" s="61">
        <f t="shared" si="10"/>
        <v>0</v>
      </c>
      <c r="Q157" s="14"/>
      <c r="R157" s="14"/>
      <c r="S157" s="14"/>
      <c r="T157" s="14"/>
    </row>
    <row r="158" spans="1:20" ht="45.75" customHeight="1">
      <c r="A158" s="77" t="s">
        <v>305</v>
      </c>
      <c r="B158" s="77">
        <v>17</v>
      </c>
      <c r="C158" s="77">
        <v>7</v>
      </c>
      <c r="D158" s="77">
        <v>81</v>
      </c>
      <c r="E158" s="77">
        <v>819</v>
      </c>
      <c r="F158" s="179" t="s">
        <v>14</v>
      </c>
      <c r="G158" s="179" t="s">
        <v>20</v>
      </c>
      <c r="H158" s="75" t="s">
        <v>198</v>
      </c>
      <c r="I158" s="179" t="s">
        <v>76</v>
      </c>
      <c r="J158" s="78" t="s">
        <v>63</v>
      </c>
      <c r="K158" s="78">
        <v>0.625</v>
      </c>
      <c r="L158" s="78">
        <v>2016</v>
      </c>
      <c r="M158" s="49">
        <v>517206</v>
      </c>
      <c r="N158" s="64"/>
      <c r="O158" s="64"/>
      <c r="P158" s="66">
        <f t="shared" si="10"/>
        <v>0</v>
      </c>
      <c r="Q158" s="14"/>
      <c r="R158" s="14"/>
      <c r="S158" s="14"/>
      <c r="T158" s="14"/>
    </row>
    <row r="159" spans="1:20" ht="46.5" customHeight="1">
      <c r="A159" s="77" t="s">
        <v>177</v>
      </c>
      <c r="B159" s="77">
        <v>17</v>
      </c>
      <c r="C159" s="77">
        <v>7</v>
      </c>
      <c r="D159" s="77">
        <v>81</v>
      </c>
      <c r="E159" s="77">
        <v>819</v>
      </c>
      <c r="F159" s="179" t="s">
        <v>14</v>
      </c>
      <c r="G159" s="179" t="s">
        <v>20</v>
      </c>
      <c r="H159" s="75" t="s">
        <v>198</v>
      </c>
      <c r="I159" s="179" t="s">
        <v>76</v>
      </c>
      <c r="J159" s="78" t="s">
        <v>63</v>
      </c>
      <c r="K159" s="78">
        <v>1.175</v>
      </c>
      <c r="L159" s="78">
        <v>2016</v>
      </c>
      <c r="M159" s="49">
        <v>2856473</v>
      </c>
      <c r="N159" s="64"/>
      <c r="O159" s="64"/>
      <c r="P159" s="66">
        <f t="shared" si="10"/>
        <v>0</v>
      </c>
      <c r="Q159" s="14"/>
      <c r="R159" s="14"/>
      <c r="S159" s="14"/>
      <c r="T159" s="14"/>
    </row>
    <row r="160" spans="1:20" ht="47.25" customHeight="1">
      <c r="A160" s="62" t="s">
        <v>178</v>
      </c>
      <c r="B160" s="62">
        <v>17</v>
      </c>
      <c r="C160" s="62">
        <v>7</v>
      </c>
      <c r="D160" s="62">
        <v>81</v>
      </c>
      <c r="E160" s="62">
        <v>819</v>
      </c>
      <c r="F160" s="75" t="s">
        <v>14</v>
      </c>
      <c r="G160" s="75" t="s">
        <v>20</v>
      </c>
      <c r="H160" s="75" t="s">
        <v>198</v>
      </c>
      <c r="I160" s="75" t="s">
        <v>76</v>
      </c>
      <c r="J160" s="68" t="s">
        <v>63</v>
      </c>
      <c r="K160" s="68">
        <v>0.81</v>
      </c>
      <c r="L160" s="68">
        <v>2016</v>
      </c>
      <c r="M160" s="49">
        <v>1653138</v>
      </c>
      <c r="N160" s="54"/>
      <c r="O160" s="64"/>
      <c r="P160" s="66">
        <f t="shared" si="10"/>
        <v>0</v>
      </c>
      <c r="Q160" s="14"/>
      <c r="R160" s="14"/>
      <c r="S160" s="14"/>
      <c r="T160" s="14"/>
    </row>
    <row r="161" spans="1:20" ht="48" customHeight="1">
      <c r="A161" s="62" t="s">
        <v>179</v>
      </c>
      <c r="B161" s="62">
        <v>17</v>
      </c>
      <c r="C161" s="62">
        <v>7</v>
      </c>
      <c r="D161" s="62">
        <v>81</v>
      </c>
      <c r="E161" s="62">
        <v>819</v>
      </c>
      <c r="F161" s="75" t="s">
        <v>14</v>
      </c>
      <c r="G161" s="75" t="s">
        <v>20</v>
      </c>
      <c r="H161" s="75" t="s">
        <v>198</v>
      </c>
      <c r="I161" s="75" t="s">
        <v>76</v>
      </c>
      <c r="J161" s="68" t="s">
        <v>63</v>
      </c>
      <c r="K161" s="68">
        <v>0.32</v>
      </c>
      <c r="L161" s="68">
        <v>2016</v>
      </c>
      <c r="M161" s="49">
        <v>2817658</v>
      </c>
      <c r="N161" s="54"/>
      <c r="O161" s="64"/>
      <c r="P161" s="66">
        <f t="shared" si="10"/>
        <v>0</v>
      </c>
      <c r="Q161" s="14"/>
      <c r="R161" s="14"/>
      <c r="S161" s="14"/>
      <c r="T161" s="14"/>
    </row>
    <row r="162" spans="1:20" ht="15" customHeight="1">
      <c r="A162" s="60" t="s">
        <v>60</v>
      </c>
      <c r="B162" s="62"/>
      <c r="C162" s="62"/>
      <c r="D162" s="62"/>
      <c r="E162" s="62"/>
      <c r="F162" s="75"/>
      <c r="G162" s="75"/>
      <c r="H162" s="75"/>
      <c r="I162" s="75"/>
      <c r="J162" s="68"/>
      <c r="K162" s="68"/>
      <c r="L162" s="68"/>
      <c r="M162" s="177">
        <f>M163</f>
        <v>4032914</v>
      </c>
      <c r="N162" s="177">
        <f>N163</f>
        <v>0</v>
      </c>
      <c r="O162" s="177">
        <f>O163</f>
        <v>0</v>
      </c>
      <c r="P162" s="61">
        <f t="shared" si="10"/>
        <v>0</v>
      </c>
      <c r="Q162" s="14"/>
      <c r="R162" s="14"/>
      <c r="S162" s="14"/>
      <c r="T162" s="14"/>
    </row>
    <row r="163" spans="1:20" ht="46.5" customHeight="1">
      <c r="A163" s="62" t="s">
        <v>130</v>
      </c>
      <c r="B163" s="62">
        <v>17</v>
      </c>
      <c r="C163" s="62">
        <v>7</v>
      </c>
      <c r="D163" s="62">
        <v>81</v>
      </c>
      <c r="E163" s="62">
        <v>819</v>
      </c>
      <c r="F163" s="75" t="s">
        <v>14</v>
      </c>
      <c r="G163" s="75" t="s">
        <v>20</v>
      </c>
      <c r="H163" s="75" t="s">
        <v>198</v>
      </c>
      <c r="I163" s="75" t="s">
        <v>76</v>
      </c>
      <c r="J163" s="68" t="s">
        <v>63</v>
      </c>
      <c r="K163" s="68">
        <v>1.5</v>
      </c>
      <c r="L163" s="68">
        <v>2016</v>
      </c>
      <c r="M163" s="49">
        <v>4032914</v>
      </c>
      <c r="N163" s="64"/>
      <c r="O163" s="64"/>
      <c r="P163" s="66">
        <f t="shared" si="10"/>
        <v>0</v>
      </c>
      <c r="Q163" s="14"/>
      <c r="R163" s="14"/>
      <c r="S163" s="14"/>
      <c r="T163" s="14"/>
    </row>
    <row r="164" spans="1:20" ht="12.75" customHeight="1">
      <c r="A164" s="60" t="s">
        <v>118</v>
      </c>
      <c r="B164" s="62"/>
      <c r="C164" s="62"/>
      <c r="D164" s="62"/>
      <c r="E164" s="62"/>
      <c r="F164" s="75"/>
      <c r="G164" s="75"/>
      <c r="H164" s="75"/>
      <c r="I164" s="75"/>
      <c r="J164" s="68"/>
      <c r="K164" s="68"/>
      <c r="L164" s="68"/>
      <c r="M164" s="177">
        <f>M165+M166+M167</f>
        <v>6364174</v>
      </c>
      <c r="N164" s="177">
        <f>N165+N166+N167</f>
        <v>0</v>
      </c>
      <c r="O164" s="177">
        <f>O165+O166+O167</f>
        <v>0</v>
      </c>
      <c r="P164" s="61">
        <f t="shared" si="10"/>
        <v>0</v>
      </c>
      <c r="Q164" s="14"/>
      <c r="R164" s="14"/>
      <c r="S164" s="14"/>
      <c r="T164" s="14"/>
    </row>
    <row r="165" spans="1:20" ht="48.75" customHeight="1">
      <c r="A165" s="62" t="str">
        <f>'[1]Лист3 (2)'!$B$23</f>
        <v>Строительство автомобильной дороги Подъезд к МТФ № 1 в н.п. Медведи от автомобильной дороги Палужская Рудня - Заборье - Медведи на км 19+940  в Красногорском районе Брянской области </v>
      </c>
      <c r="B165" s="62">
        <v>17</v>
      </c>
      <c r="C165" s="62">
        <v>7</v>
      </c>
      <c r="D165" s="62">
        <v>81</v>
      </c>
      <c r="E165" s="62">
        <v>819</v>
      </c>
      <c r="F165" s="75" t="s">
        <v>14</v>
      </c>
      <c r="G165" s="75" t="s">
        <v>20</v>
      </c>
      <c r="H165" s="75" t="s">
        <v>198</v>
      </c>
      <c r="I165" s="75" t="s">
        <v>76</v>
      </c>
      <c r="J165" s="68" t="s">
        <v>63</v>
      </c>
      <c r="K165" s="68">
        <v>1.204</v>
      </c>
      <c r="L165" s="68">
        <v>2016</v>
      </c>
      <c r="M165" s="49">
        <v>2653694</v>
      </c>
      <c r="N165" s="64"/>
      <c r="O165" s="64"/>
      <c r="P165" s="66">
        <f t="shared" si="10"/>
        <v>0</v>
      </c>
      <c r="Q165" s="14"/>
      <c r="R165" s="14"/>
      <c r="S165" s="14"/>
      <c r="T165" s="14"/>
    </row>
    <row r="166" spans="1:20" ht="50.25" customHeight="1">
      <c r="A166" s="62" t="str">
        <f>'[1]Лист3 (2)'!$B$24</f>
        <v>Строительство автомобильной дороги Подъезд к МТФ в н.п. Макаричи от автомобильной дороги Палужская Рудня - Заборье - Медведи на км 4+800  в Красногорском районе Брянской области </v>
      </c>
      <c r="B166" s="62">
        <v>17</v>
      </c>
      <c r="C166" s="62">
        <v>7</v>
      </c>
      <c r="D166" s="62">
        <v>81</v>
      </c>
      <c r="E166" s="62">
        <v>819</v>
      </c>
      <c r="F166" s="75" t="s">
        <v>14</v>
      </c>
      <c r="G166" s="75" t="s">
        <v>20</v>
      </c>
      <c r="H166" s="75" t="s">
        <v>198</v>
      </c>
      <c r="I166" s="75" t="s">
        <v>76</v>
      </c>
      <c r="J166" s="68" t="s">
        <v>63</v>
      </c>
      <c r="K166" s="68">
        <v>0.403</v>
      </c>
      <c r="L166" s="68">
        <v>2016</v>
      </c>
      <c r="M166" s="49">
        <v>956410</v>
      </c>
      <c r="N166" s="64"/>
      <c r="O166" s="64"/>
      <c r="P166" s="66">
        <f t="shared" si="10"/>
        <v>0</v>
      </c>
      <c r="Q166" s="14"/>
      <c r="R166" s="14"/>
      <c r="S166" s="14"/>
      <c r="T166" s="14"/>
    </row>
    <row r="167" spans="1:20" ht="47.25" customHeight="1">
      <c r="A167" s="62" t="str">
        <f>'[1]Лист3 (2)'!$B$25</f>
        <v>Строительство автомобильной дороги Подъезд к МТФ № 1 в н.п. Перелазы от автомобильной дороги Перелазы - Зеленая Дубрава на км 0+320  в Красногорском районе Брянской области </v>
      </c>
      <c r="B167" s="62">
        <v>17</v>
      </c>
      <c r="C167" s="62">
        <v>7</v>
      </c>
      <c r="D167" s="62">
        <v>81</v>
      </c>
      <c r="E167" s="62">
        <v>819</v>
      </c>
      <c r="F167" s="75" t="s">
        <v>14</v>
      </c>
      <c r="G167" s="75" t="s">
        <v>20</v>
      </c>
      <c r="H167" s="75" t="s">
        <v>198</v>
      </c>
      <c r="I167" s="75" t="s">
        <v>76</v>
      </c>
      <c r="J167" s="68" t="s">
        <v>63</v>
      </c>
      <c r="K167" s="68">
        <v>1.155</v>
      </c>
      <c r="L167" s="68">
        <v>2016</v>
      </c>
      <c r="M167" s="49">
        <v>2754070</v>
      </c>
      <c r="N167" s="64"/>
      <c r="O167" s="64"/>
      <c r="P167" s="66">
        <f t="shared" si="10"/>
        <v>0</v>
      </c>
      <c r="Q167" s="14"/>
      <c r="R167" s="14"/>
      <c r="S167" s="14"/>
      <c r="T167" s="14"/>
    </row>
    <row r="168" spans="1:20" ht="15" customHeight="1">
      <c r="A168" s="60" t="s">
        <v>69</v>
      </c>
      <c r="B168" s="62"/>
      <c r="C168" s="62"/>
      <c r="D168" s="62"/>
      <c r="E168" s="62"/>
      <c r="F168" s="75"/>
      <c r="G168" s="75"/>
      <c r="H168" s="75"/>
      <c r="I168" s="75"/>
      <c r="J168" s="68"/>
      <c r="K168" s="68"/>
      <c r="L168" s="68"/>
      <c r="M168" s="177">
        <f>M169</f>
        <v>2855159</v>
      </c>
      <c r="N168" s="177">
        <f>N169</f>
        <v>0</v>
      </c>
      <c r="O168" s="177">
        <f>O169</f>
        <v>0</v>
      </c>
      <c r="P168" s="61">
        <f t="shared" si="10"/>
        <v>0</v>
      </c>
      <c r="Q168" s="14"/>
      <c r="R168" s="14"/>
      <c r="S168" s="14"/>
      <c r="T168" s="14"/>
    </row>
    <row r="169" spans="1:20" ht="46.5" customHeight="1">
      <c r="A169" s="62" t="str">
        <f>'[1]Лист3 (2)'!$B$26</f>
        <v>Строительство автомобильной дороги Подъезд к агрогородку "Гетманобудский"   от автомобильной дороги "Климово-Чуровичи" - Гетманова Буда на км 3+000  в Климовском районе Брянской области </v>
      </c>
      <c r="B169" s="62">
        <v>17</v>
      </c>
      <c r="C169" s="62">
        <v>7</v>
      </c>
      <c r="D169" s="62">
        <v>81</v>
      </c>
      <c r="E169" s="62">
        <v>819</v>
      </c>
      <c r="F169" s="75" t="s">
        <v>14</v>
      </c>
      <c r="G169" s="75" t="s">
        <v>20</v>
      </c>
      <c r="H169" s="75" t="s">
        <v>198</v>
      </c>
      <c r="I169" s="75" t="s">
        <v>76</v>
      </c>
      <c r="J169" s="68" t="s">
        <v>63</v>
      </c>
      <c r="K169" s="68">
        <v>0.98</v>
      </c>
      <c r="L169" s="68">
        <v>2016</v>
      </c>
      <c r="M169" s="49">
        <v>2855159</v>
      </c>
      <c r="N169" s="64"/>
      <c r="O169" s="64"/>
      <c r="P169" s="66">
        <f t="shared" si="10"/>
        <v>0</v>
      </c>
      <c r="Q169" s="14"/>
      <c r="R169" s="14"/>
      <c r="S169" s="14"/>
      <c r="T169" s="14"/>
    </row>
    <row r="170" spans="1:20" ht="12.75" customHeight="1">
      <c r="A170" s="60" t="s">
        <v>119</v>
      </c>
      <c r="B170" s="62"/>
      <c r="C170" s="62"/>
      <c r="D170" s="62"/>
      <c r="E170" s="62"/>
      <c r="F170" s="75"/>
      <c r="G170" s="75"/>
      <c r="H170" s="75"/>
      <c r="I170" s="75"/>
      <c r="J170" s="68"/>
      <c r="K170" s="68"/>
      <c r="L170" s="68"/>
      <c r="M170" s="177">
        <f>M171+M172+M173</f>
        <v>18459762</v>
      </c>
      <c r="N170" s="177">
        <f>N171+N172+N173</f>
        <v>1262705.91</v>
      </c>
      <c r="O170" s="177">
        <f>O171+O172+O173</f>
        <v>0</v>
      </c>
      <c r="P170" s="61">
        <f t="shared" si="10"/>
        <v>0</v>
      </c>
      <c r="Q170" s="14"/>
      <c r="R170" s="14"/>
      <c r="S170" s="14"/>
      <c r="T170" s="14"/>
    </row>
    <row r="171" spans="1:20" ht="48" customHeight="1">
      <c r="A171" s="62" t="s">
        <v>284</v>
      </c>
      <c r="B171" s="62">
        <v>17</v>
      </c>
      <c r="C171" s="62">
        <v>7</v>
      </c>
      <c r="D171" s="62">
        <v>81</v>
      </c>
      <c r="E171" s="62">
        <v>819</v>
      </c>
      <c r="F171" s="75" t="s">
        <v>14</v>
      </c>
      <c r="G171" s="75" t="s">
        <v>20</v>
      </c>
      <c r="H171" s="75" t="s">
        <v>197</v>
      </c>
      <c r="I171" s="75" t="s">
        <v>76</v>
      </c>
      <c r="J171" s="68" t="s">
        <v>63</v>
      </c>
      <c r="K171" s="68">
        <v>5.436</v>
      </c>
      <c r="L171" s="68">
        <v>2016</v>
      </c>
      <c r="M171" s="49">
        <v>14533941</v>
      </c>
      <c r="N171" s="42">
        <v>479688.57</v>
      </c>
      <c r="O171" s="64"/>
      <c r="P171" s="66">
        <f t="shared" si="10"/>
        <v>0</v>
      </c>
      <c r="Q171" s="14"/>
      <c r="R171" s="14"/>
      <c r="S171" s="14"/>
      <c r="T171" s="14"/>
    </row>
    <row r="172" spans="1:20" ht="48.75" customHeight="1">
      <c r="A172" s="62" t="str">
        <f>'[1]Лист3 (2)'!$B$28</f>
        <v>Строительство автомобильной дороги Подъезд к МТФ в н.п. Курово ООО СП "Дружба"  от автомобильной дороги   "Брянск - Новозыбков" - Погар - Гремяч (обход г.Погара) на км 2+600   в Погарском районе Брянской области </v>
      </c>
      <c r="B172" s="62">
        <v>17</v>
      </c>
      <c r="C172" s="62">
        <v>7</v>
      </c>
      <c r="D172" s="62">
        <v>81</v>
      </c>
      <c r="E172" s="62">
        <v>819</v>
      </c>
      <c r="F172" s="75" t="s">
        <v>14</v>
      </c>
      <c r="G172" s="75" t="s">
        <v>20</v>
      </c>
      <c r="H172" s="75" t="s">
        <v>197</v>
      </c>
      <c r="I172" s="75" t="s">
        <v>76</v>
      </c>
      <c r="J172" s="68" t="s">
        <v>63</v>
      </c>
      <c r="K172" s="68">
        <v>1.014</v>
      </c>
      <c r="L172" s="68">
        <v>2016</v>
      </c>
      <c r="M172" s="49">
        <v>2995035</v>
      </c>
      <c r="N172" s="42">
        <v>783017.34</v>
      </c>
      <c r="O172" s="64"/>
      <c r="P172" s="66">
        <f t="shared" si="10"/>
        <v>0</v>
      </c>
      <c r="Q172" s="14"/>
      <c r="R172" s="14"/>
      <c r="S172" s="14"/>
      <c r="T172" s="14"/>
    </row>
    <row r="173" spans="1:20" ht="48.75" customHeight="1">
      <c r="A173" s="62" t="s">
        <v>281</v>
      </c>
      <c r="B173" s="62">
        <v>17</v>
      </c>
      <c r="C173" s="62">
        <v>7</v>
      </c>
      <c r="D173" s="62">
        <v>81</v>
      </c>
      <c r="E173" s="62">
        <v>819</v>
      </c>
      <c r="F173" s="75" t="s">
        <v>14</v>
      </c>
      <c r="G173" s="75" t="s">
        <v>20</v>
      </c>
      <c r="H173" s="75" t="s">
        <v>197</v>
      </c>
      <c r="I173" s="75" t="s">
        <v>76</v>
      </c>
      <c r="J173" s="68" t="s">
        <v>63</v>
      </c>
      <c r="K173" s="68">
        <v>0.321</v>
      </c>
      <c r="L173" s="68">
        <v>2016</v>
      </c>
      <c r="M173" s="49">
        <v>930786</v>
      </c>
      <c r="N173" s="64"/>
      <c r="O173" s="64"/>
      <c r="P173" s="66">
        <f t="shared" si="10"/>
        <v>0</v>
      </c>
      <c r="Q173" s="14"/>
      <c r="R173" s="14"/>
      <c r="S173" s="14"/>
      <c r="T173" s="14"/>
    </row>
    <row r="174" spans="1:20" ht="13.5" customHeight="1">
      <c r="A174" s="60" t="s">
        <v>80</v>
      </c>
      <c r="B174" s="62"/>
      <c r="C174" s="62"/>
      <c r="D174" s="62"/>
      <c r="E174" s="62"/>
      <c r="F174" s="75"/>
      <c r="G174" s="75"/>
      <c r="H174" s="75"/>
      <c r="I174" s="75"/>
      <c r="J174" s="68"/>
      <c r="K174" s="68"/>
      <c r="L174" s="68"/>
      <c r="M174" s="177">
        <f>M175+M176</f>
        <v>9226951</v>
      </c>
      <c r="N174" s="177">
        <f>N175+N176</f>
        <v>3213390.25</v>
      </c>
      <c r="O174" s="177">
        <f>O175+O176</f>
        <v>1983641</v>
      </c>
      <c r="P174" s="61">
        <f t="shared" si="10"/>
        <v>21.49833677452064</v>
      </c>
      <c r="Q174" s="14"/>
      <c r="R174" s="14"/>
      <c r="S174" s="14"/>
      <c r="T174" s="14"/>
    </row>
    <row r="175" spans="1:20" ht="48" customHeight="1">
      <c r="A175" s="62" t="s">
        <v>283</v>
      </c>
      <c r="B175" s="62">
        <v>17</v>
      </c>
      <c r="C175" s="62">
        <v>7</v>
      </c>
      <c r="D175" s="62">
        <v>81</v>
      </c>
      <c r="E175" s="62">
        <v>819</v>
      </c>
      <c r="F175" s="75" t="s">
        <v>14</v>
      </c>
      <c r="G175" s="75" t="s">
        <v>20</v>
      </c>
      <c r="H175" s="75" t="s">
        <v>197</v>
      </c>
      <c r="I175" s="75" t="s">
        <v>76</v>
      </c>
      <c r="J175" s="68" t="s">
        <v>63</v>
      </c>
      <c r="K175" s="68">
        <v>0.695</v>
      </c>
      <c r="L175" s="68">
        <v>2016</v>
      </c>
      <c r="M175" s="49">
        <v>2118489</v>
      </c>
      <c r="N175" s="42">
        <v>1983641</v>
      </c>
      <c r="O175" s="42">
        <v>1983641</v>
      </c>
      <c r="P175" s="66">
        <f t="shared" si="10"/>
        <v>93.63470851158539</v>
      </c>
      <c r="Q175" s="14"/>
      <c r="R175" s="14"/>
      <c r="S175" s="14"/>
      <c r="T175" s="14"/>
    </row>
    <row r="176" spans="1:20" ht="47.25" customHeight="1">
      <c r="A176" s="62" t="s">
        <v>282</v>
      </c>
      <c r="B176" s="62">
        <v>17</v>
      </c>
      <c r="C176" s="62">
        <v>7</v>
      </c>
      <c r="D176" s="62">
        <v>81</v>
      </c>
      <c r="E176" s="62">
        <v>819</v>
      </c>
      <c r="F176" s="75" t="s">
        <v>14</v>
      </c>
      <c r="G176" s="75" t="s">
        <v>20</v>
      </c>
      <c r="H176" s="75" t="s">
        <v>197</v>
      </c>
      <c r="I176" s="75" t="s">
        <v>76</v>
      </c>
      <c r="J176" s="68" t="s">
        <v>63</v>
      </c>
      <c r="K176" s="68">
        <v>0.933</v>
      </c>
      <c r="L176" s="68">
        <v>2016</v>
      </c>
      <c r="M176" s="49">
        <v>7108462</v>
      </c>
      <c r="N176" s="42">
        <v>1229749.25</v>
      </c>
      <c r="O176" s="64"/>
      <c r="P176" s="66">
        <f t="shared" si="10"/>
        <v>0</v>
      </c>
      <c r="Q176" s="14"/>
      <c r="R176" s="14"/>
      <c r="S176" s="14"/>
      <c r="T176" s="14"/>
    </row>
    <row r="177" spans="1:20" ht="15" customHeight="1">
      <c r="A177" s="60" t="s">
        <v>92</v>
      </c>
      <c r="B177" s="62"/>
      <c r="C177" s="62"/>
      <c r="D177" s="62"/>
      <c r="E177" s="62"/>
      <c r="F177" s="75"/>
      <c r="G177" s="75"/>
      <c r="H177" s="75"/>
      <c r="I177" s="75"/>
      <c r="J177" s="68"/>
      <c r="K177" s="68"/>
      <c r="L177" s="68"/>
      <c r="M177" s="177">
        <f>M178+M179+M180</f>
        <v>13082954</v>
      </c>
      <c r="N177" s="177">
        <f>N178+N179+N180</f>
        <v>3061914.38</v>
      </c>
      <c r="O177" s="177">
        <f>O178+O179+O180</f>
        <v>3031421.84</v>
      </c>
      <c r="P177" s="61">
        <f t="shared" si="10"/>
        <v>23.17077504056041</v>
      </c>
      <c r="Q177" s="14"/>
      <c r="R177" s="14"/>
      <c r="S177" s="14"/>
      <c r="T177" s="14"/>
    </row>
    <row r="178" spans="1:20" ht="46.5" customHeight="1">
      <c r="A178" s="62" t="s">
        <v>285</v>
      </c>
      <c r="B178" s="62">
        <v>17</v>
      </c>
      <c r="C178" s="62">
        <v>7</v>
      </c>
      <c r="D178" s="62">
        <v>81</v>
      </c>
      <c r="E178" s="62">
        <v>819</v>
      </c>
      <c r="F178" s="75" t="s">
        <v>14</v>
      </c>
      <c r="G178" s="75" t="s">
        <v>20</v>
      </c>
      <c r="H178" s="75" t="s">
        <v>197</v>
      </c>
      <c r="I178" s="75" t="s">
        <v>76</v>
      </c>
      <c r="J178" s="68" t="s">
        <v>63</v>
      </c>
      <c r="K178" s="68">
        <v>1.226</v>
      </c>
      <c r="L178" s="68">
        <v>2016</v>
      </c>
      <c r="M178" s="49">
        <v>2434803</v>
      </c>
      <c r="N178" s="42">
        <v>1057886.38</v>
      </c>
      <c r="O178" s="42">
        <v>1031421.84</v>
      </c>
      <c r="P178" s="66">
        <f t="shared" si="10"/>
        <v>42.36161365005711</v>
      </c>
      <c r="Q178" s="14"/>
      <c r="R178" s="14"/>
      <c r="S178" s="14"/>
      <c r="T178" s="14"/>
    </row>
    <row r="179" spans="1:20" ht="50.25" customHeight="1">
      <c r="A179" s="62" t="s">
        <v>286</v>
      </c>
      <c r="B179" s="62">
        <v>17</v>
      </c>
      <c r="C179" s="62">
        <v>7</v>
      </c>
      <c r="D179" s="62">
        <v>81</v>
      </c>
      <c r="E179" s="62">
        <v>819</v>
      </c>
      <c r="F179" s="75" t="s">
        <v>14</v>
      </c>
      <c r="G179" s="75" t="s">
        <v>20</v>
      </c>
      <c r="H179" s="75" t="s">
        <v>197</v>
      </c>
      <c r="I179" s="75" t="s">
        <v>76</v>
      </c>
      <c r="J179" s="68" t="s">
        <v>63</v>
      </c>
      <c r="K179" s="68">
        <v>2.673</v>
      </c>
      <c r="L179" s="68">
        <v>2016</v>
      </c>
      <c r="M179" s="49">
        <v>6396264</v>
      </c>
      <c r="N179" s="42">
        <v>2004028</v>
      </c>
      <c r="O179" s="42">
        <v>2000000</v>
      </c>
      <c r="P179" s="66">
        <f t="shared" si="10"/>
        <v>31.268252842596866</v>
      </c>
      <c r="Q179" s="14"/>
      <c r="R179" s="14"/>
      <c r="S179" s="14"/>
      <c r="T179" s="14"/>
    </row>
    <row r="180" spans="1:20" ht="59.25" customHeight="1">
      <c r="A180" s="62" t="s">
        <v>287</v>
      </c>
      <c r="B180" s="62">
        <v>17</v>
      </c>
      <c r="C180" s="62">
        <v>7</v>
      </c>
      <c r="D180" s="62">
        <v>81</v>
      </c>
      <c r="E180" s="62">
        <v>819</v>
      </c>
      <c r="F180" s="75" t="s">
        <v>14</v>
      </c>
      <c r="G180" s="75" t="s">
        <v>20</v>
      </c>
      <c r="H180" s="75" t="s">
        <v>197</v>
      </c>
      <c r="I180" s="75" t="s">
        <v>76</v>
      </c>
      <c r="J180" s="68" t="s">
        <v>63</v>
      </c>
      <c r="K180" s="68">
        <v>1.567</v>
      </c>
      <c r="L180" s="68">
        <v>2016</v>
      </c>
      <c r="M180" s="49">
        <v>4251887</v>
      </c>
      <c r="N180" s="64"/>
      <c r="O180" s="64"/>
      <c r="P180" s="66">
        <f t="shared" si="10"/>
        <v>0</v>
      </c>
      <c r="Q180" s="14"/>
      <c r="R180" s="14"/>
      <c r="S180" s="14"/>
      <c r="T180" s="14"/>
    </row>
    <row r="181" spans="1:20" ht="14.25" customHeight="1">
      <c r="A181" s="60" t="s">
        <v>131</v>
      </c>
      <c r="B181" s="62"/>
      <c r="C181" s="62"/>
      <c r="D181" s="62"/>
      <c r="E181" s="62"/>
      <c r="F181" s="75"/>
      <c r="G181" s="75"/>
      <c r="H181" s="75"/>
      <c r="I181" s="75"/>
      <c r="J181" s="68"/>
      <c r="K181" s="68"/>
      <c r="L181" s="68"/>
      <c r="M181" s="177">
        <f>M182</f>
        <v>1081559</v>
      </c>
      <c r="N181" s="177">
        <f>N182</f>
        <v>0</v>
      </c>
      <c r="O181" s="177">
        <f>O182</f>
        <v>0</v>
      </c>
      <c r="P181" s="61">
        <f t="shared" si="10"/>
        <v>0</v>
      </c>
      <c r="Q181" s="14"/>
      <c r="R181" s="14"/>
      <c r="S181" s="14"/>
      <c r="T181" s="14"/>
    </row>
    <row r="182" spans="1:20" ht="50.25" customHeight="1">
      <c r="A182" s="62" t="s">
        <v>132</v>
      </c>
      <c r="B182" s="62">
        <v>17</v>
      </c>
      <c r="C182" s="62">
        <v>7</v>
      </c>
      <c r="D182" s="62">
        <v>81</v>
      </c>
      <c r="E182" s="62">
        <v>819</v>
      </c>
      <c r="F182" s="75" t="s">
        <v>14</v>
      </c>
      <c r="G182" s="75" t="s">
        <v>20</v>
      </c>
      <c r="H182" s="75" t="s">
        <v>198</v>
      </c>
      <c r="I182" s="75" t="s">
        <v>76</v>
      </c>
      <c r="J182" s="68" t="s">
        <v>63</v>
      </c>
      <c r="K182" s="68">
        <v>0.675</v>
      </c>
      <c r="L182" s="68">
        <v>2016</v>
      </c>
      <c r="M182" s="49">
        <v>1081559</v>
      </c>
      <c r="N182" s="64"/>
      <c r="O182" s="64"/>
      <c r="P182" s="66">
        <f t="shared" si="10"/>
        <v>0</v>
      </c>
      <c r="Q182" s="14"/>
      <c r="R182" s="14"/>
      <c r="S182" s="14"/>
      <c r="T182" s="14"/>
    </row>
    <row r="183" spans="1:20" ht="15.75" customHeight="1">
      <c r="A183" s="60" t="s">
        <v>71</v>
      </c>
      <c r="B183" s="62"/>
      <c r="C183" s="62"/>
      <c r="D183" s="62"/>
      <c r="E183" s="62"/>
      <c r="F183" s="75"/>
      <c r="G183" s="75"/>
      <c r="H183" s="75"/>
      <c r="I183" s="75"/>
      <c r="J183" s="68"/>
      <c r="K183" s="68"/>
      <c r="L183" s="68"/>
      <c r="M183" s="177">
        <f>M184</f>
        <v>5221264</v>
      </c>
      <c r="N183" s="177">
        <f>N184</f>
        <v>5221264</v>
      </c>
      <c r="O183" s="177">
        <f>O184</f>
        <v>5221264</v>
      </c>
      <c r="P183" s="61">
        <f t="shared" si="10"/>
        <v>100</v>
      </c>
      <c r="Q183" s="14"/>
      <c r="R183" s="14"/>
      <c r="S183" s="14"/>
      <c r="T183" s="14"/>
    </row>
    <row r="184" spans="1:20" s="10" customFormat="1" ht="25.5" customHeight="1">
      <c r="A184" s="62" t="str">
        <f>'[1]Лист3 (2)'!$B$35</f>
        <v>Строительство автомобильной дороги Кветунь-Удолье  в Трубчевском районе Брянской области</v>
      </c>
      <c r="B184" s="62">
        <v>17</v>
      </c>
      <c r="C184" s="62">
        <v>7</v>
      </c>
      <c r="D184" s="62">
        <v>81</v>
      </c>
      <c r="E184" s="62">
        <v>819</v>
      </c>
      <c r="F184" s="75" t="s">
        <v>14</v>
      </c>
      <c r="G184" s="75" t="s">
        <v>20</v>
      </c>
      <c r="H184" s="75" t="s">
        <v>197</v>
      </c>
      <c r="I184" s="75" t="s">
        <v>76</v>
      </c>
      <c r="J184" s="68" t="s">
        <v>63</v>
      </c>
      <c r="K184" s="68">
        <v>1.187</v>
      </c>
      <c r="L184" s="68">
        <v>2016</v>
      </c>
      <c r="M184" s="49">
        <v>5221264</v>
      </c>
      <c r="N184" s="42">
        <v>5221264</v>
      </c>
      <c r="O184" s="42">
        <v>5221264</v>
      </c>
      <c r="P184" s="66">
        <f t="shared" si="10"/>
        <v>100</v>
      </c>
      <c r="Q184" s="14"/>
      <c r="R184" s="14"/>
      <c r="S184" s="14"/>
      <c r="T184" s="14"/>
    </row>
    <row r="185" spans="1:20" s="10" customFormat="1" ht="15" customHeight="1">
      <c r="A185" s="60" t="s">
        <v>248</v>
      </c>
      <c r="B185" s="62">
        <v>17</v>
      </c>
      <c r="C185" s="62">
        <v>7</v>
      </c>
      <c r="D185" s="62">
        <v>81</v>
      </c>
      <c r="E185" s="62">
        <v>819</v>
      </c>
      <c r="F185" s="75" t="s">
        <v>14</v>
      </c>
      <c r="G185" s="75" t="s">
        <v>20</v>
      </c>
      <c r="H185" s="75" t="s">
        <v>197</v>
      </c>
      <c r="I185" s="75" t="s">
        <v>76</v>
      </c>
      <c r="J185" s="68"/>
      <c r="K185" s="68"/>
      <c r="L185" s="68"/>
      <c r="M185" s="177">
        <v>101400</v>
      </c>
      <c r="N185" s="64"/>
      <c r="O185" s="64"/>
      <c r="P185" s="61">
        <f t="shared" si="10"/>
        <v>0</v>
      </c>
      <c r="Q185" s="14"/>
      <c r="R185" s="14"/>
      <c r="S185" s="14"/>
      <c r="T185" s="14"/>
    </row>
    <row r="186" spans="1:20" ht="16.5" customHeight="1">
      <c r="A186" s="60" t="s">
        <v>21</v>
      </c>
      <c r="B186" s="65" t="s">
        <v>42</v>
      </c>
      <c r="C186" s="65" t="s">
        <v>10</v>
      </c>
      <c r="D186" s="65">
        <v>81</v>
      </c>
      <c r="E186" s="65" t="s">
        <v>29</v>
      </c>
      <c r="F186" s="65" t="s">
        <v>15</v>
      </c>
      <c r="G186" s="65" t="s">
        <v>0</v>
      </c>
      <c r="H186" s="63"/>
      <c r="I186" s="63"/>
      <c r="J186" s="165"/>
      <c r="K186" s="68"/>
      <c r="L186" s="116"/>
      <c r="M186" s="129">
        <f>M187</f>
        <v>27289509.14</v>
      </c>
      <c r="N186" s="129">
        <f>N187</f>
        <v>10666803.45</v>
      </c>
      <c r="O186" s="129">
        <f>O187</f>
        <v>11005239.45</v>
      </c>
      <c r="P186" s="61">
        <f t="shared" si="10"/>
        <v>40.327729581141156</v>
      </c>
      <c r="Q186" s="14"/>
      <c r="R186" s="14"/>
      <c r="S186" s="14"/>
      <c r="T186" s="14"/>
    </row>
    <row r="187" spans="1:20" ht="15" customHeight="1">
      <c r="A187" s="60" t="s">
        <v>23</v>
      </c>
      <c r="B187" s="65" t="s">
        <v>42</v>
      </c>
      <c r="C187" s="65" t="s">
        <v>10</v>
      </c>
      <c r="D187" s="65">
        <v>81</v>
      </c>
      <c r="E187" s="65" t="s">
        <v>29</v>
      </c>
      <c r="F187" s="65" t="s">
        <v>15</v>
      </c>
      <c r="G187" s="65" t="s">
        <v>13</v>
      </c>
      <c r="H187" s="63"/>
      <c r="I187" s="63"/>
      <c r="J187" s="165"/>
      <c r="K187" s="68"/>
      <c r="L187" s="116"/>
      <c r="M187" s="129">
        <f>M188+M189</f>
        <v>27289509.14</v>
      </c>
      <c r="N187" s="129">
        <f>N188+N189</f>
        <v>10666803.45</v>
      </c>
      <c r="O187" s="129">
        <f>O188+O189</f>
        <v>11005239.45</v>
      </c>
      <c r="P187" s="61">
        <f t="shared" si="10"/>
        <v>40.327729581141156</v>
      </c>
      <c r="Q187" s="14"/>
      <c r="R187" s="14"/>
      <c r="S187" s="14"/>
      <c r="T187" s="14"/>
    </row>
    <row r="188" spans="1:20" ht="25.5" customHeight="1">
      <c r="A188" s="60" t="s">
        <v>79</v>
      </c>
      <c r="B188" s="65" t="s">
        <v>42</v>
      </c>
      <c r="C188" s="65" t="s">
        <v>10</v>
      </c>
      <c r="D188" s="65">
        <v>81</v>
      </c>
      <c r="E188" s="65" t="s">
        <v>29</v>
      </c>
      <c r="F188" s="65" t="s">
        <v>15</v>
      </c>
      <c r="G188" s="65" t="s">
        <v>13</v>
      </c>
      <c r="H188" s="65">
        <v>11270</v>
      </c>
      <c r="I188" s="65" t="s">
        <v>0</v>
      </c>
      <c r="J188" s="165"/>
      <c r="K188" s="68"/>
      <c r="L188" s="116"/>
      <c r="M188" s="129">
        <f aca="true" t="shared" si="12" ref="M188:O189">M190</f>
        <v>4392809.140000001</v>
      </c>
      <c r="N188" s="129">
        <f t="shared" si="12"/>
        <v>3355485</v>
      </c>
      <c r="O188" s="129">
        <f t="shared" si="12"/>
        <v>3693921</v>
      </c>
      <c r="P188" s="61">
        <f t="shared" si="10"/>
        <v>84.09017743029007</v>
      </c>
      <c r="Q188" s="14"/>
      <c r="R188" s="14"/>
      <c r="S188" s="14"/>
      <c r="T188" s="14"/>
    </row>
    <row r="189" spans="1:20" ht="15" customHeight="1">
      <c r="A189" s="60" t="s">
        <v>125</v>
      </c>
      <c r="B189" s="65" t="s">
        <v>42</v>
      </c>
      <c r="C189" s="65" t="s">
        <v>10</v>
      </c>
      <c r="D189" s="65">
        <v>81</v>
      </c>
      <c r="E189" s="65" t="s">
        <v>29</v>
      </c>
      <c r="F189" s="65" t="s">
        <v>15</v>
      </c>
      <c r="G189" s="65" t="s">
        <v>13</v>
      </c>
      <c r="H189" s="65" t="s">
        <v>197</v>
      </c>
      <c r="I189" s="65"/>
      <c r="J189" s="165"/>
      <c r="K189" s="68"/>
      <c r="L189" s="116"/>
      <c r="M189" s="129">
        <f t="shared" si="12"/>
        <v>22896700</v>
      </c>
      <c r="N189" s="129">
        <f t="shared" si="12"/>
        <v>7311318.45</v>
      </c>
      <c r="O189" s="129">
        <f t="shared" si="12"/>
        <v>7311318.45</v>
      </c>
      <c r="P189" s="61">
        <f t="shared" si="10"/>
        <v>31.931756322963572</v>
      </c>
      <c r="Q189" s="14"/>
      <c r="R189" s="14"/>
      <c r="S189" s="14"/>
      <c r="T189" s="14"/>
    </row>
    <row r="190" spans="1:20" ht="13.5" customHeight="1">
      <c r="A190" s="199" t="s">
        <v>75</v>
      </c>
      <c r="B190" s="65" t="s">
        <v>42</v>
      </c>
      <c r="C190" s="65" t="s">
        <v>10</v>
      </c>
      <c r="D190" s="65">
        <v>81</v>
      </c>
      <c r="E190" s="65" t="s">
        <v>29</v>
      </c>
      <c r="F190" s="65" t="s">
        <v>15</v>
      </c>
      <c r="G190" s="65" t="s">
        <v>13</v>
      </c>
      <c r="H190" s="65">
        <v>11270</v>
      </c>
      <c r="I190" s="65" t="s">
        <v>76</v>
      </c>
      <c r="J190" s="165"/>
      <c r="K190" s="68"/>
      <c r="L190" s="116"/>
      <c r="M190" s="129">
        <f aca="true" t="shared" si="13" ref="M190:O191">M192+M204</f>
        <v>4392809.140000001</v>
      </c>
      <c r="N190" s="129">
        <f t="shared" si="13"/>
        <v>3355485</v>
      </c>
      <c r="O190" s="129">
        <f t="shared" si="13"/>
        <v>3693921</v>
      </c>
      <c r="P190" s="61">
        <f t="shared" si="10"/>
        <v>84.09017743029007</v>
      </c>
      <c r="Q190" s="14"/>
      <c r="R190" s="14"/>
      <c r="S190" s="14"/>
      <c r="T190" s="14"/>
    </row>
    <row r="191" spans="1:20" ht="15.75" customHeight="1">
      <c r="A191" s="200"/>
      <c r="B191" s="65" t="s">
        <v>42</v>
      </c>
      <c r="C191" s="65" t="s">
        <v>10</v>
      </c>
      <c r="D191" s="65">
        <v>81</v>
      </c>
      <c r="E191" s="65" t="s">
        <v>29</v>
      </c>
      <c r="F191" s="65" t="s">
        <v>15</v>
      </c>
      <c r="G191" s="65" t="s">
        <v>13</v>
      </c>
      <c r="H191" s="65" t="s">
        <v>197</v>
      </c>
      <c r="I191" s="65" t="s">
        <v>76</v>
      </c>
      <c r="J191" s="165"/>
      <c r="K191" s="68"/>
      <c r="L191" s="116"/>
      <c r="M191" s="129">
        <f t="shared" si="13"/>
        <v>22896700</v>
      </c>
      <c r="N191" s="129">
        <f t="shared" si="13"/>
        <v>7311318.45</v>
      </c>
      <c r="O191" s="129">
        <f t="shared" si="13"/>
        <v>7311318.45</v>
      </c>
      <c r="P191" s="61">
        <f t="shared" si="10"/>
        <v>31.931756322963572</v>
      </c>
      <c r="Q191" s="14"/>
      <c r="R191" s="14"/>
      <c r="S191" s="14"/>
      <c r="T191" s="14"/>
    </row>
    <row r="192" spans="1:20" ht="12.75" customHeight="1">
      <c r="A192" s="199" t="s">
        <v>84</v>
      </c>
      <c r="B192" s="65" t="s">
        <v>42</v>
      </c>
      <c r="C192" s="65" t="s">
        <v>10</v>
      </c>
      <c r="D192" s="65">
        <v>81</v>
      </c>
      <c r="E192" s="65" t="s">
        <v>29</v>
      </c>
      <c r="F192" s="65" t="s">
        <v>15</v>
      </c>
      <c r="G192" s="65" t="s">
        <v>13</v>
      </c>
      <c r="H192" s="65">
        <v>11270</v>
      </c>
      <c r="I192" s="65" t="s">
        <v>76</v>
      </c>
      <c r="J192" s="165"/>
      <c r="K192" s="68"/>
      <c r="L192" s="116"/>
      <c r="M192" s="114">
        <f>M201+M200</f>
        <v>423176</v>
      </c>
      <c r="N192" s="114">
        <f>N201+N200</f>
        <v>321216</v>
      </c>
      <c r="O192" s="114">
        <f>O201+O200</f>
        <v>341276</v>
      </c>
      <c r="P192" s="61">
        <f t="shared" si="10"/>
        <v>80.64635045465717</v>
      </c>
      <c r="Q192" s="14"/>
      <c r="R192" s="14"/>
      <c r="S192" s="14"/>
      <c r="T192" s="14"/>
    </row>
    <row r="193" spans="1:20" ht="15.75" customHeight="1">
      <c r="A193" s="200"/>
      <c r="B193" s="65" t="s">
        <v>42</v>
      </c>
      <c r="C193" s="65" t="s">
        <v>10</v>
      </c>
      <c r="D193" s="65">
        <v>81</v>
      </c>
      <c r="E193" s="65" t="s">
        <v>29</v>
      </c>
      <c r="F193" s="65" t="s">
        <v>15</v>
      </c>
      <c r="G193" s="65" t="s">
        <v>13</v>
      </c>
      <c r="H193" s="65" t="s">
        <v>197</v>
      </c>
      <c r="I193" s="65" t="s">
        <v>76</v>
      </c>
      <c r="J193" s="165"/>
      <c r="K193" s="68"/>
      <c r="L193" s="116"/>
      <c r="M193" s="114">
        <f>M194+M196+M199</f>
        <v>1079100</v>
      </c>
      <c r="N193" s="114">
        <f>N194+N196+N199</f>
        <v>616614</v>
      </c>
      <c r="O193" s="114">
        <f>O194+O196+O199</f>
        <v>616614</v>
      </c>
      <c r="P193" s="61">
        <f t="shared" si="10"/>
        <v>57.14150681123158</v>
      </c>
      <c r="Q193" s="14"/>
      <c r="R193" s="14"/>
      <c r="S193" s="14"/>
      <c r="T193" s="14"/>
    </row>
    <row r="194" spans="1:20" ht="14.25" customHeight="1">
      <c r="A194" s="60" t="s">
        <v>213</v>
      </c>
      <c r="B194" s="65"/>
      <c r="C194" s="65"/>
      <c r="D194" s="65"/>
      <c r="E194" s="65"/>
      <c r="F194" s="65"/>
      <c r="G194" s="65"/>
      <c r="H194" s="65"/>
      <c r="I194" s="65"/>
      <c r="J194" s="165"/>
      <c r="K194" s="68"/>
      <c r="L194" s="116"/>
      <c r="M194" s="114">
        <f>M195</f>
        <v>501030</v>
      </c>
      <c r="N194" s="114">
        <f>N195</f>
        <v>353175</v>
      </c>
      <c r="O194" s="114">
        <f>O195</f>
        <v>353175</v>
      </c>
      <c r="P194" s="61">
        <f t="shared" si="10"/>
        <v>70.48979103047722</v>
      </c>
      <c r="Q194" s="14"/>
      <c r="R194" s="14"/>
      <c r="S194" s="14"/>
      <c r="T194" s="14"/>
    </row>
    <row r="195" spans="1:20" ht="25.5" customHeight="1">
      <c r="A195" s="62" t="s">
        <v>419</v>
      </c>
      <c r="B195" s="63" t="s">
        <v>42</v>
      </c>
      <c r="C195" s="63" t="s">
        <v>10</v>
      </c>
      <c r="D195" s="63">
        <v>81</v>
      </c>
      <c r="E195" s="63" t="s">
        <v>29</v>
      </c>
      <c r="F195" s="63" t="s">
        <v>15</v>
      </c>
      <c r="G195" s="63" t="s">
        <v>13</v>
      </c>
      <c r="H195" s="63" t="s">
        <v>197</v>
      </c>
      <c r="I195" s="63" t="s">
        <v>76</v>
      </c>
      <c r="J195" s="165" t="s">
        <v>63</v>
      </c>
      <c r="K195" s="68">
        <v>0.89</v>
      </c>
      <c r="L195" s="116">
        <v>2016</v>
      </c>
      <c r="M195" s="54">
        <v>501030</v>
      </c>
      <c r="N195" s="54">
        <v>353175</v>
      </c>
      <c r="O195" s="54">
        <v>353175</v>
      </c>
      <c r="P195" s="66">
        <f t="shared" si="10"/>
        <v>70.48979103047722</v>
      </c>
      <c r="Q195" s="14"/>
      <c r="R195" s="14"/>
      <c r="S195" s="14"/>
      <c r="T195" s="14"/>
    </row>
    <row r="196" spans="1:20" ht="14.25" customHeight="1">
      <c r="A196" s="60" t="s">
        <v>241</v>
      </c>
      <c r="B196" s="65"/>
      <c r="C196" s="65"/>
      <c r="D196" s="65"/>
      <c r="E196" s="65"/>
      <c r="F196" s="65"/>
      <c r="G196" s="65"/>
      <c r="H196" s="65"/>
      <c r="I196" s="65"/>
      <c r="J196" s="165"/>
      <c r="K196" s="68"/>
      <c r="L196" s="116"/>
      <c r="M196" s="114">
        <f>M197</f>
        <v>300330</v>
      </c>
      <c r="N196" s="114">
        <f>N197</f>
        <v>0</v>
      </c>
      <c r="O196" s="114">
        <f>O197</f>
        <v>0</v>
      </c>
      <c r="P196" s="61">
        <f t="shared" si="10"/>
        <v>0</v>
      </c>
      <c r="Q196" s="14"/>
      <c r="R196" s="14"/>
      <c r="S196" s="14"/>
      <c r="T196" s="14"/>
    </row>
    <row r="197" spans="1:20" ht="12.75">
      <c r="A197" s="62" t="s">
        <v>242</v>
      </c>
      <c r="B197" s="63" t="s">
        <v>42</v>
      </c>
      <c r="C197" s="63" t="s">
        <v>10</v>
      </c>
      <c r="D197" s="63">
        <v>81</v>
      </c>
      <c r="E197" s="63" t="s">
        <v>29</v>
      </c>
      <c r="F197" s="63" t="s">
        <v>15</v>
      </c>
      <c r="G197" s="63" t="s">
        <v>13</v>
      </c>
      <c r="H197" s="63" t="s">
        <v>197</v>
      </c>
      <c r="I197" s="63" t="s">
        <v>76</v>
      </c>
      <c r="J197" s="165" t="s">
        <v>63</v>
      </c>
      <c r="K197" s="68">
        <v>1.122</v>
      </c>
      <c r="L197" s="116">
        <v>2016</v>
      </c>
      <c r="M197" s="54">
        <v>300330</v>
      </c>
      <c r="N197" s="64"/>
      <c r="O197" s="64"/>
      <c r="P197" s="66">
        <f t="shared" si="10"/>
        <v>0</v>
      </c>
      <c r="Q197" s="14"/>
      <c r="R197" s="14"/>
      <c r="S197" s="14"/>
      <c r="T197" s="14"/>
    </row>
    <row r="198" spans="1:20" ht="13.5" customHeight="1">
      <c r="A198" s="60" t="s">
        <v>62</v>
      </c>
      <c r="B198" s="63"/>
      <c r="C198" s="63"/>
      <c r="D198" s="63"/>
      <c r="E198" s="63"/>
      <c r="F198" s="63"/>
      <c r="G198" s="63"/>
      <c r="H198" s="63"/>
      <c r="I198" s="63"/>
      <c r="J198" s="68"/>
      <c r="K198" s="68"/>
      <c r="L198" s="116"/>
      <c r="M198" s="177">
        <f>M199+M200</f>
        <v>680856</v>
      </c>
      <c r="N198" s="177">
        <f>N199+N200</f>
        <v>584655</v>
      </c>
      <c r="O198" s="177">
        <f>O199+O200</f>
        <v>584655</v>
      </c>
      <c r="P198" s="61">
        <f t="shared" si="10"/>
        <v>85.87058056329091</v>
      </c>
      <c r="Q198" s="14"/>
      <c r="R198" s="14"/>
      <c r="S198" s="14"/>
      <c r="T198" s="14"/>
    </row>
    <row r="199" spans="1:20" ht="12.75" customHeight="1">
      <c r="A199" s="62" t="s">
        <v>240</v>
      </c>
      <c r="B199" s="63" t="s">
        <v>42</v>
      </c>
      <c r="C199" s="63" t="s">
        <v>10</v>
      </c>
      <c r="D199" s="63">
        <v>81</v>
      </c>
      <c r="E199" s="63" t="s">
        <v>29</v>
      </c>
      <c r="F199" s="63" t="s">
        <v>15</v>
      </c>
      <c r="G199" s="63" t="s">
        <v>13</v>
      </c>
      <c r="H199" s="63" t="s">
        <v>197</v>
      </c>
      <c r="I199" s="63" t="s">
        <v>76</v>
      </c>
      <c r="J199" s="68" t="s">
        <v>63</v>
      </c>
      <c r="K199" s="68">
        <v>2.124</v>
      </c>
      <c r="L199" s="116">
        <v>2016</v>
      </c>
      <c r="M199" s="64">
        <f>176700+101140-100</f>
        <v>277740</v>
      </c>
      <c r="N199" s="42">
        <v>263439</v>
      </c>
      <c r="O199" s="42">
        <v>263439</v>
      </c>
      <c r="P199" s="66">
        <f t="shared" si="10"/>
        <v>94.85093972780298</v>
      </c>
      <c r="Q199" s="14"/>
      <c r="R199" s="14"/>
      <c r="S199" s="14"/>
      <c r="T199" s="14"/>
    </row>
    <row r="200" spans="1:20" ht="14.25" customHeight="1">
      <c r="A200" s="62" t="s">
        <v>316</v>
      </c>
      <c r="B200" s="63" t="s">
        <v>42</v>
      </c>
      <c r="C200" s="63" t="s">
        <v>10</v>
      </c>
      <c r="D200" s="63">
        <v>81</v>
      </c>
      <c r="E200" s="63" t="s">
        <v>29</v>
      </c>
      <c r="F200" s="63" t="s">
        <v>15</v>
      </c>
      <c r="G200" s="63" t="s">
        <v>13</v>
      </c>
      <c r="H200" s="63">
        <v>11270</v>
      </c>
      <c r="I200" s="63" t="s">
        <v>76</v>
      </c>
      <c r="J200" s="68" t="s">
        <v>63</v>
      </c>
      <c r="K200" s="68">
        <v>3.2</v>
      </c>
      <c r="L200" s="116">
        <v>2016</v>
      </c>
      <c r="M200" s="64">
        <v>403116</v>
      </c>
      <c r="N200" s="42">
        <v>321216</v>
      </c>
      <c r="O200" s="42">
        <v>321216</v>
      </c>
      <c r="P200" s="66">
        <f aca="true" t="shared" si="14" ref="P200:P263">O200/M200*100</f>
        <v>79.68326734736404</v>
      </c>
      <c r="Q200" s="14"/>
      <c r="R200" s="14"/>
      <c r="S200" s="14"/>
      <c r="T200" s="14"/>
    </row>
    <row r="201" spans="1:16" s="14" customFormat="1" ht="14.25" customHeight="1">
      <c r="A201" s="73" t="s">
        <v>208</v>
      </c>
      <c r="B201" s="63"/>
      <c r="C201" s="63"/>
      <c r="D201" s="63"/>
      <c r="E201" s="63"/>
      <c r="F201" s="159"/>
      <c r="G201" s="159"/>
      <c r="H201" s="63"/>
      <c r="I201" s="63"/>
      <c r="J201" s="68"/>
      <c r="K201" s="68"/>
      <c r="L201" s="68"/>
      <c r="M201" s="117">
        <f>M202</f>
        <v>20060</v>
      </c>
      <c r="N201" s="117">
        <f>N202</f>
        <v>0</v>
      </c>
      <c r="O201" s="117">
        <f>O202</f>
        <v>20060</v>
      </c>
      <c r="P201" s="61">
        <f t="shared" si="14"/>
        <v>100</v>
      </c>
    </row>
    <row r="202" spans="1:16" s="14" customFormat="1" ht="14.25" customHeight="1">
      <c r="A202" s="62" t="s">
        <v>353</v>
      </c>
      <c r="B202" s="63" t="s">
        <v>42</v>
      </c>
      <c r="C202" s="63" t="s">
        <v>10</v>
      </c>
      <c r="D202" s="63">
        <v>81</v>
      </c>
      <c r="E202" s="63" t="s">
        <v>29</v>
      </c>
      <c r="F202" s="63" t="s">
        <v>15</v>
      </c>
      <c r="G202" s="63" t="s">
        <v>13</v>
      </c>
      <c r="H202" s="63">
        <v>11270</v>
      </c>
      <c r="I202" s="63" t="s">
        <v>76</v>
      </c>
      <c r="J202" s="68" t="s">
        <v>63</v>
      </c>
      <c r="K202" s="68">
        <v>0.345</v>
      </c>
      <c r="L202" s="68"/>
      <c r="M202" s="64">
        <v>20060</v>
      </c>
      <c r="N202" s="42">
        <v>0</v>
      </c>
      <c r="O202" s="42">
        <v>20060</v>
      </c>
      <c r="P202" s="66">
        <f t="shared" si="14"/>
        <v>100</v>
      </c>
    </row>
    <row r="203" spans="1:16" s="14" customFormat="1" ht="22.5" customHeight="1">
      <c r="A203" s="71" t="s">
        <v>200</v>
      </c>
      <c r="B203" s="63"/>
      <c r="C203" s="63"/>
      <c r="D203" s="63"/>
      <c r="E203" s="63"/>
      <c r="F203" s="159"/>
      <c r="G203" s="159"/>
      <c r="H203" s="63"/>
      <c r="I203" s="63"/>
      <c r="J203" s="68"/>
      <c r="K203" s="68"/>
      <c r="L203" s="68"/>
      <c r="M203" s="67">
        <v>20060</v>
      </c>
      <c r="N203" s="42">
        <v>0</v>
      </c>
      <c r="O203" s="43">
        <v>20060</v>
      </c>
      <c r="P203" s="69">
        <f t="shared" si="14"/>
        <v>100</v>
      </c>
    </row>
    <row r="204" spans="1:20" ht="13.5" customHeight="1">
      <c r="A204" s="199" t="s">
        <v>85</v>
      </c>
      <c r="B204" s="65">
        <v>17</v>
      </c>
      <c r="C204" s="65" t="s">
        <v>10</v>
      </c>
      <c r="D204" s="65">
        <v>81</v>
      </c>
      <c r="E204" s="65" t="s">
        <v>29</v>
      </c>
      <c r="F204" s="65" t="s">
        <v>15</v>
      </c>
      <c r="G204" s="65" t="s">
        <v>13</v>
      </c>
      <c r="H204" s="65">
        <v>11270</v>
      </c>
      <c r="I204" s="65" t="s">
        <v>76</v>
      </c>
      <c r="J204" s="68"/>
      <c r="K204" s="68"/>
      <c r="L204" s="113"/>
      <c r="M204" s="177">
        <f>M218+M221</f>
        <v>3969633.14</v>
      </c>
      <c r="N204" s="177">
        <f>N218+N221</f>
        <v>3034269</v>
      </c>
      <c r="O204" s="177">
        <f>O218+O221</f>
        <v>3352645</v>
      </c>
      <c r="P204" s="61">
        <f t="shared" si="14"/>
        <v>84.45730075701655</v>
      </c>
      <c r="Q204" s="14"/>
      <c r="R204" s="14"/>
      <c r="S204" s="14"/>
      <c r="T204" s="14"/>
    </row>
    <row r="205" spans="1:20" ht="14.25" customHeight="1">
      <c r="A205" s="200"/>
      <c r="B205" s="65" t="s">
        <v>42</v>
      </c>
      <c r="C205" s="65" t="s">
        <v>10</v>
      </c>
      <c r="D205" s="65">
        <v>81</v>
      </c>
      <c r="E205" s="65" t="s">
        <v>29</v>
      </c>
      <c r="F205" s="65" t="s">
        <v>15</v>
      </c>
      <c r="G205" s="65" t="s">
        <v>13</v>
      </c>
      <c r="H205" s="65" t="s">
        <v>197</v>
      </c>
      <c r="I205" s="65" t="s">
        <v>76</v>
      </c>
      <c r="J205" s="68"/>
      <c r="K205" s="68"/>
      <c r="L205" s="113"/>
      <c r="M205" s="177">
        <f>M206+M208+M211+M214+M220</f>
        <v>21817600</v>
      </c>
      <c r="N205" s="177">
        <f>N206+N208+N211+N214+N220</f>
        <v>6694704.45</v>
      </c>
      <c r="O205" s="177">
        <f>O206+O208+O211+O214+O220</f>
        <v>6694704.45</v>
      </c>
      <c r="P205" s="61">
        <f t="shared" si="14"/>
        <v>30.68488032597536</v>
      </c>
      <c r="Q205" s="14"/>
      <c r="R205" s="14"/>
      <c r="S205" s="14"/>
      <c r="T205" s="14"/>
    </row>
    <row r="206" spans="1:20" ht="15.75" customHeight="1">
      <c r="A206" s="180" t="s">
        <v>61</v>
      </c>
      <c r="B206" s="65"/>
      <c r="C206" s="65"/>
      <c r="D206" s="65"/>
      <c r="E206" s="65"/>
      <c r="F206" s="65"/>
      <c r="G206" s="65"/>
      <c r="H206" s="65"/>
      <c r="I206" s="65"/>
      <c r="J206" s="68"/>
      <c r="K206" s="68"/>
      <c r="L206" s="113"/>
      <c r="M206" s="177">
        <f>M207</f>
        <v>5608400</v>
      </c>
      <c r="N206" s="177">
        <f>N207</f>
        <v>1853130.15</v>
      </c>
      <c r="O206" s="177">
        <f>O207</f>
        <v>1853130.15</v>
      </c>
      <c r="P206" s="61">
        <f t="shared" si="14"/>
        <v>33.04204675130162</v>
      </c>
      <c r="Q206" s="14"/>
      <c r="R206" s="14"/>
      <c r="S206" s="14"/>
      <c r="T206" s="14"/>
    </row>
    <row r="207" spans="1:20" ht="26.25" customHeight="1">
      <c r="A207" s="62" t="s">
        <v>309</v>
      </c>
      <c r="B207" s="63" t="s">
        <v>42</v>
      </c>
      <c r="C207" s="63" t="s">
        <v>10</v>
      </c>
      <c r="D207" s="63">
        <v>81</v>
      </c>
      <c r="E207" s="63" t="s">
        <v>29</v>
      </c>
      <c r="F207" s="63" t="s">
        <v>15</v>
      </c>
      <c r="G207" s="63" t="s">
        <v>13</v>
      </c>
      <c r="H207" s="63" t="s">
        <v>197</v>
      </c>
      <c r="I207" s="63" t="s">
        <v>76</v>
      </c>
      <c r="J207" s="68" t="s">
        <v>63</v>
      </c>
      <c r="K207" s="68">
        <v>5.078</v>
      </c>
      <c r="L207" s="113" t="s">
        <v>433</v>
      </c>
      <c r="M207" s="49">
        <v>5608400</v>
      </c>
      <c r="N207" s="54">
        <v>1853130.15</v>
      </c>
      <c r="O207" s="54">
        <v>1853130.15</v>
      </c>
      <c r="P207" s="66">
        <f t="shared" si="14"/>
        <v>33.04204675130162</v>
      </c>
      <c r="Q207" s="14"/>
      <c r="R207" s="14"/>
      <c r="S207" s="14"/>
      <c r="T207" s="14"/>
    </row>
    <row r="208" spans="1:20" ht="15" customHeight="1">
      <c r="A208" s="180" t="s">
        <v>60</v>
      </c>
      <c r="B208" s="65"/>
      <c r="C208" s="65"/>
      <c r="D208" s="65"/>
      <c r="E208" s="65"/>
      <c r="F208" s="65"/>
      <c r="G208" s="65"/>
      <c r="H208" s="65"/>
      <c r="I208" s="65"/>
      <c r="J208" s="68"/>
      <c r="K208" s="68"/>
      <c r="L208" s="113"/>
      <c r="M208" s="177">
        <f>M209+M210</f>
        <v>5479182.85</v>
      </c>
      <c r="N208" s="177">
        <f>N209+N210</f>
        <v>1084261</v>
      </c>
      <c r="O208" s="177">
        <f>O209+O210</f>
        <v>1084261</v>
      </c>
      <c r="P208" s="61">
        <f t="shared" si="14"/>
        <v>19.788735468099958</v>
      </c>
      <c r="Q208" s="14"/>
      <c r="R208" s="14"/>
      <c r="S208" s="14"/>
      <c r="T208" s="14"/>
    </row>
    <row r="209" spans="1:20" ht="15" customHeight="1">
      <c r="A209" s="181" t="s">
        <v>260</v>
      </c>
      <c r="B209" s="63" t="s">
        <v>42</v>
      </c>
      <c r="C209" s="63" t="s">
        <v>10</v>
      </c>
      <c r="D209" s="63">
        <v>81</v>
      </c>
      <c r="E209" s="63" t="s">
        <v>29</v>
      </c>
      <c r="F209" s="63" t="s">
        <v>15</v>
      </c>
      <c r="G209" s="63" t="s">
        <v>13</v>
      </c>
      <c r="H209" s="63" t="s">
        <v>197</v>
      </c>
      <c r="I209" s="63" t="s">
        <v>76</v>
      </c>
      <c r="J209" s="68" t="s">
        <v>63</v>
      </c>
      <c r="K209" s="68">
        <v>6.054</v>
      </c>
      <c r="L209" s="113">
        <v>2016</v>
      </c>
      <c r="M209" s="49">
        <v>4628957.85</v>
      </c>
      <c r="N209" s="54">
        <v>443300</v>
      </c>
      <c r="O209" s="54">
        <v>443300</v>
      </c>
      <c r="P209" s="66">
        <f t="shared" si="14"/>
        <v>9.576669616898759</v>
      </c>
      <c r="Q209" s="14"/>
      <c r="R209" s="14"/>
      <c r="S209" s="14"/>
      <c r="T209" s="14"/>
    </row>
    <row r="210" spans="1:20" ht="14.25" customHeight="1">
      <c r="A210" s="181" t="s">
        <v>420</v>
      </c>
      <c r="B210" s="63" t="s">
        <v>42</v>
      </c>
      <c r="C210" s="63" t="s">
        <v>10</v>
      </c>
      <c r="D210" s="63">
        <v>81</v>
      </c>
      <c r="E210" s="63" t="s">
        <v>29</v>
      </c>
      <c r="F210" s="63" t="s">
        <v>15</v>
      </c>
      <c r="G210" s="63" t="s">
        <v>13</v>
      </c>
      <c r="H210" s="63" t="s">
        <v>197</v>
      </c>
      <c r="I210" s="63" t="s">
        <v>76</v>
      </c>
      <c r="J210" s="68" t="s">
        <v>63</v>
      </c>
      <c r="K210" s="68">
        <v>1.491</v>
      </c>
      <c r="L210" s="113">
        <v>2016</v>
      </c>
      <c r="M210" s="49">
        <f>63825+786400</f>
        <v>850225</v>
      </c>
      <c r="N210" s="54">
        <v>640961</v>
      </c>
      <c r="O210" s="54">
        <v>640961</v>
      </c>
      <c r="P210" s="66">
        <f t="shared" si="14"/>
        <v>75.38722102972743</v>
      </c>
      <c r="Q210" s="14"/>
      <c r="R210" s="14"/>
      <c r="S210" s="14"/>
      <c r="T210" s="14"/>
    </row>
    <row r="211" spans="1:20" ht="15" customHeight="1">
      <c r="A211" s="180" t="s">
        <v>91</v>
      </c>
      <c r="B211" s="65"/>
      <c r="C211" s="65"/>
      <c r="D211" s="65"/>
      <c r="E211" s="65"/>
      <c r="F211" s="65"/>
      <c r="G211" s="65"/>
      <c r="H211" s="65"/>
      <c r="I211" s="65"/>
      <c r="J211" s="68"/>
      <c r="K211" s="68"/>
      <c r="L211" s="113"/>
      <c r="M211" s="177">
        <f>M212+M213</f>
        <v>1240417.15</v>
      </c>
      <c r="N211" s="177">
        <f>N212+N213</f>
        <v>918253</v>
      </c>
      <c r="O211" s="177">
        <f>O212+O213</f>
        <v>918253</v>
      </c>
      <c r="P211" s="61">
        <f t="shared" si="14"/>
        <v>74.02775751689664</v>
      </c>
      <c r="Q211" s="14"/>
      <c r="R211" s="14"/>
      <c r="S211" s="14"/>
      <c r="T211" s="14"/>
    </row>
    <row r="212" spans="1:20" ht="22.5" customHeight="1">
      <c r="A212" s="62" t="s">
        <v>356</v>
      </c>
      <c r="B212" s="63" t="s">
        <v>42</v>
      </c>
      <c r="C212" s="63" t="s">
        <v>10</v>
      </c>
      <c r="D212" s="63">
        <v>81</v>
      </c>
      <c r="E212" s="63" t="s">
        <v>29</v>
      </c>
      <c r="F212" s="63" t="s">
        <v>15</v>
      </c>
      <c r="G212" s="63" t="s">
        <v>13</v>
      </c>
      <c r="H212" s="63" t="s">
        <v>197</v>
      </c>
      <c r="I212" s="63" t="s">
        <v>76</v>
      </c>
      <c r="J212" s="68" t="s">
        <v>63</v>
      </c>
      <c r="K212" s="68">
        <v>1.247</v>
      </c>
      <c r="L212" s="113">
        <v>2016</v>
      </c>
      <c r="M212" s="49">
        <v>505500</v>
      </c>
      <c r="N212" s="54">
        <v>337984</v>
      </c>
      <c r="O212" s="54">
        <v>337984</v>
      </c>
      <c r="P212" s="66">
        <f t="shared" si="14"/>
        <v>66.86132542037586</v>
      </c>
      <c r="Q212" s="14"/>
      <c r="R212" s="14"/>
      <c r="S212" s="14"/>
      <c r="T212" s="14"/>
    </row>
    <row r="213" spans="1:20" ht="12.75" customHeight="1">
      <c r="A213" s="62" t="s">
        <v>261</v>
      </c>
      <c r="B213" s="63" t="s">
        <v>42</v>
      </c>
      <c r="C213" s="63" t="s">
        <v>10</v>
      </c>
      <c r="D213" s="63">
        <v>81</v>
      </c>
      <c r="E213" s="63" t="s">
        <v>29</v>
      </c>
      <c r="F213" s="63" t="s">
        <v>15</v>
      </c>
      <c r="G213" s="63" t="s">
        <v>13</v>
      </c>
      <c r="H213" s="63" t="s">
        <v>197</v>
      </c>
      <c r="I213" s="63" t="s">
        <v>76</v>
      </c>
      <c r="J213" s="68" t="s">
        <v>63</v>
      </c>
      <c r="K213" s="68">
        <v>1.63</v>
      </c>
      <c r="L213" s="113">
        <v>2016</v>
      </c>
      <c r="M213" s="49">
        <v>734917.15</v>
      </c>
      <c r="N213" s="54">
        <v>580269</v>
      </c>
      <c r="O213" s="54">
        <v>580269</v>
      </c>
      <c r="P213" s="66">
        <f t="shared" si="14"/>
        <v>78.95706339143126</v>
      </c>
      <c r="Q213" s="14"/>
      <c r="R213" s="14"/>
      <c r="S213" s="14"/>
      <c r="T213" s="14"/>
    </row>
    <row r="214" spans="1:20" ht="14.25" customHeight="1">
      <c r="A214" s="60" t="s">
        <v>66</v>
      </c>
      <c r="B214" s="65"/>
      <c r="C214" s="65"/>
      <c r="D214" s="65"/>
      <c r="E214" s="65"/>
      <c r="F214" s="65"/>
      <c r="G214" s="65"/>
      <c r="H214" s="65"/>
      <c r="I214" s="65"/>
      <c r="J214" s="68"/>
      <c r="K214" s="68"/>
      <c r="L214" s="113"/>
      <c r="M214" s="177">
        <f>M215+M216</f>
        <v>2049600</v>
      </c>
      <c r="N214" s="177">
        <f>N215+N216</f>
        <v>604221.3</v>
      </c>
      <c r="O214" s="177">
        <f>O215+O216</f>
        <v>604221.3</v>
      </c>
      <c r="P214" s="61">
        <f t="shared" si="14"/>
        <v>29.479961943793914</v>
      </c>
      <c r="Q214" s="14"/>
      <c r="R214" s="14"/>
      <c r="S214" s="14"/>
      <c r="T214" s="14"/>
    </row>
    <row r="215" spans="1:20" ht="12.75">
      <c r="A215" s="62" t="s">
        <v>243</v>
      </c>
      <c r="B215" s="63" t="s">
        <v>42</v>
      </c>
      <c r="C215" s="63" t="s">
        <v>10</v>
      </c>
      <c r="D215" s="63">
        <v>81</v>
      </c>
      <c r="E215" s="63" t="s">
        <v>29</v>
      </c>
      <c r="F215" s="63" t="s">
        <v>15</v>
      </c>
      <c r="G215" s="63" t="s">
        <v>13</v>
      </c>
      <c r="H215" s="63" t="s">
        <v>197</v>
      </c>
      <c r="I215" s="63" t="s">
        <v>76</v>
      </c>
      <c r="J215" s="68" t="s">
        <v>63</v>
      </c>
      <c r="K215" s="68">
        <v>2.441</v>
      </c>
      <c r="L215" s="113">
        <v>2016</v>
      </c>
      <c r="M215" s="49">
        <v>972300</v>
      </c>
      <c r="N215" s="54"/>
      <c r="O215" s="54"/>
      <c r="P215" s="66">
        <f t="shared" si="14"/>
        <v>0</v>
      </c>
      <c r="Q215" s="14"/>
      <c r="R215" s="14"/>
      <c r="S215" s="14"/>
      <c r="T215" s="14"/>
    </row>
    <row r="216" spans="1:20" ht="12.75" customHeight="1">
      <c r="A216" s="62" t="s">
        <v>421</v>
      </c>
      <c r="B216" s="63" t="s">
        <v>42</v>
      </c>
      <c r="C216" s="63" t="s">
        <v>10</v>
      </c>
      <c r="D216" s="63">
        <v>81</v>
      </c>
      <c r="E216" s="63" t="s">
        <v>29</v>
      </c>
      <c r="F216" s="63" t="s">
        <v>15</v>
      </c>
      <c r="G216" s="63" t="s">
        <v>13</v>
      </c>
      <c r="H216" s="63" t="s">
        <v>197</v>
      </c>
      <c r="I216" s="63" t="s">
        <v>76</v>
      </c>
      <c r="J216" s="68" t="s">
        <v>63</v>
      </c>
      <c r="K216" s="68">
        <v>2.241</v>
      </c>
      <c r="L216" s="113">
        <v>2016</v>
      </c>
      <c r="M216" s="49">
        <v>1077300</v>
      </c>
      <c r="N216" s="54">
        <v>604221.3</v>
      </c>
      <c r="O216" s="54">
        <v>604221.3</v>
      </c>
      <c r="P216" s="66">
        <f t="shared" si="14"/>
        <v>56.08663324979115</v>
      </c>
      <c r="Q216" s="14"/>
      <c r="R216" s="14"/>
      <c r="S216" s="14"/>
      <c r="T216" s="14"/>
    </row>
    <row r="217" spans="1:20" ht="15" customHeight="1">
      <c r="A217" s="60" t="s">
        <v>62</v>
      </c>
      <c r="B217" s="63"/>
      <c r="C217" s="63"/>
      <c r="D217" s="63"/>
      <c r="E217" s="63"/>
      <c r="F217" s="63"/>
      <c r="G217" s="63"/>
      <c r="H217" s="63"/>
      <c r="I217" s="63"/>
      <c r="J217" s="68"/>
      <c r="K217" s="68"/>
      <c r="L217" s="113"/>
      <c r="M217" s="117">
        <f>M218</f>
        <v>3651257.14</v>
      </c>
      <c r="N217" s="117">
        <f>N218</f>
        <v>3034269</v>
      </c>
      <c r="O217" s="117">
        <f>O218</f>
        <v>3034269</v>
      </c>
      <c r="P217" s="61">
        <f t="shared" si="14"/>
        <v>83.10203537185004</v>
      </c>
      <c r="Q217" s="14"/>
      <c r="R217" s="14"/>
      <c r="S217" s="14"/>
      <c r="T217" s="14"/>
    </row>
    <row r="218" spans="1:20" ht="24" customHeight="1">
      <c r="A218" s="62" t="s">
        <v>315</v>
      </c>
      <c r="B218" s="63" t="s">
        <v>42</v>
      </c>
      <c r="C218" s="63" t="s">
        <v>10</v>
      </c>
      <c r="D218" s="63">
        <v>81</v>
      </c>
      <c r="E218" s="63" t="s">
        <v>29</v>
      </c>
      <c r="F218" s="63" t="s">
        <v>15</v>
      </c>
      <c r="G218" s="63" t="s">
        <v>13</v>
      </c>
      <c r="H218" s="63">
        <v>11270</v>
      </c>
      <c r="I218" s="63">
        <v>522</v>
      </c>
      <c r="J218" s="70" t="s">
        <v>226</v>
      </c>
      <c r="K218" s="72" t="s">
        <v>227</v>
      </c>
      <c r="L218" s="113">
        <v>2016</v>
      </c>
      <c r="M218" s="64">
        <f>2612783+1000000+38474.14</f>
        <v>3651257.14</v>
      </c>
      <c r="N218" s="42">
        <v>3034269</v>
      </c>
      <c r="O218" s="42">
        <v>3034269</v>
      </c>
      <c r="P218" s="66">
        <f t="shared" si="14"/>
        <v>83.10203537185004</v>
      </c>
      <c r="Q218" s="14"/>
      <c r="R218" s="14"/>
      <c r="S218" s="14"/>
      <c r="T218" s="14"/>
    </row>
    <row r="219" spans="1:16" s="14" customFormat="1" ht="15.75" customHeight="1">
      <c r="A219" s="60" t="s">
        <v>131</v>
      </c>
      <c r="B219" s="63"/>
      <c r="C219" s="63"/>
      <c r="D219" s="63"/>
      <c r="E219" s="63"/>
      <c r="F219" s="63"/>
      <c r="G219" s="63"/>
      <c r="H219" s="63"/>
      <c r="I219" s="63"/>
      <c r="J219" s="72"/>
      <c r="K219" s="72"/>
      <c r="L219" s="68"/>
      <c r="M219" s="117">
        <f>M221+M220</f>
        <v>7758376</v>
      </c>
      <c r="N219" s="117">
        <f>N221+N220</f>
        <v>2234839</v>
      </c>
      <c r="O219" s="117">
        <f>O221+O220</f>
        <v>2553215</v>
      </c>
      <c r="P219" s="61">
        <f t="shared" si="14"/>
        <v>32.90914232566197</v>
      </c>
    </row>
    <row r="220" spans="1:16" s="14" customFormat="1" ht="14.25" customHeight="1">
      <c r="A220" s="62" t="s">
        <v>244</v>
      </c>
      <c r="B220" s="63" t="s">
        <v>42</v>
      </c>
      <c r="C220" s="63" t="s">
        <v>10</v>
      </c>
      <c r="D220" s="63">
        <v>81</v>
      </c>
      <c r="E220" s="63" t="s">
        <v>29</v>
      </c>
      <c r="F220" s="63" t="s">
        <v>15</v>
      </c>
      <c r="G220" s="63" t="s">
        <v>13</v>
      </c>
      <c r="H220" s="63" t="s">
        <v>197</v>
      </c>
      <c r="I220" s="63" t="s">
        <v>76</v>
      </c>
      <c r="J220" s="68" t="s">
        <v>63</v>
      </c>
      <c r="K220" s="68">
        <v>6.8</v>
      </c>
      <c r="L220" s="113">
        <v>2016</v>
      </c>
      <c r="M220" s="64">
        <v>7440000</v>
      </c>
      <c r="N220" s="42">
        <v>2234839</v>
      </c>
      <c r="O220" s="46">
        <v>2234839</v>
      </c>
      <c r="P220" s="66">
        <f t="shared" si="14"/>
        <v>30.03815860215054</v>
      </c>
    </row>
    <row r="221" spans="1:16" s="14" customFormat="1" ht="12.75">
      <c r="A221" s="62" t="s">
        <v>245</v>
      </c>
      <c r="B221" s="63" t="s">
        <v>42</v>
      </c>
      <c r="C221" s="63" t="s">
        <v>10</v>
      </c>
      <c r="D221" s="63">
        <v>81</v>
      </c>
      <c r="E221" s="63" t="s">
        <v>29</v>
      </c>
      <c r="F221" s="63" t="s">
        <v>15</v>
      </c>
      <c r="G221" s="63" t="s">
        <v>13</v>
      </c>
      <c r="H221" s="63">
        <v>11270</v>
      </c>
      <c r="I221" s="63">
        <v>522</v>
      </c>
      <c r="J221" s="72" t="s">
        <v>63</v>
      </c>
      <c r="K221" s="72">
        <v>1.9</v>
      </c>
      <c r="L221" s="68">
        <v>2016</v>
      </c>
      <c r="M221" s="64">
        <f>M222</f>
        <v>318376</v>
      </c>
      <c r="N221" s="42">
        <v>0</v>
      </c>
      <c r="O221" s="46">
        <v>318376</v>
      </c>
      <c r="P221" s="66">
        <f t="shared" si="14"/>
        <v>100</v>
      </c>
    </row>
    <row r="222" spans="1:16" s="14" customFormat="1" ht="24.75" customHeight="1">
      <c r="A222" s="71" t="s">
        <v>200</v>
      </c>
      <c r="B222" s="63"/>
      <c r="C222" s="63"/>
      <c r="D222" s="63"/>
      <c r="E222" s="63"/>
      <c r="F222" s="159"/>
      <c r="G222" s="159"/>
      <c r="H222" s="63"/>
      <c r="I222" s="63"/>
      <c r="J222" s="68"/>
      <c r="K222" s="68"/>
      <c r="L222" s="68"/>
      <c r="M222" s="67">
        <v>318376</v>
      </c>
      <c r="N222" s="43">
        <v>0</v>
      </c>
      <c r="O222" s="47">
        <v>318376</v>
      </c>
      <c r="P222" s="69">
        <f t="shared" si="14"/>
        <v>100</v>
      </c>
    </row>
    <row r="223" spans="1:20" s="6" customFormat="1" ht="15.75" customHeight="1">
      <c r="A223" s="60" t="s">
        <v>35</v>
      </c>
      <c r="B223" s="65">
        <v>17</v>
      </c>
      <c r="C223" s="65">
        <v>7</v>
      </c>
      <c r="D223" s="65">
        <v>81</v>
      </c>
      <c r="E223" s="65">
        <v>819</v>
      </c>
      <c r="F223" s="115" t="s">
        <v>17</v>
      </c>
      <c r="G223" s="65"/>
      <c r="H223" s="65"/>
      <c r="I223" s="65"/>
      <c r="J223" s="176"/>
      <c r="K223" s="68"/>
      <c r="L223" s="113"/>
      <c r="M223" s="177">
        <f>M224</f>
        <v>2996165</v>
      </c>
      <c r="N223" s="177">
        <f aca="true" t="shared" si="15" ref="N223:O227">N224</f>
        <v>0</v>
      </c>
      <c r="O223" s="177">
        <f t="shared" si="15"/>
        <v>0</v>
      </c>
      <c r="P223" s="61">
        <f t="shared" si="14"/>
        <v>0</v>
      </c>
      <c r="Q223" s="14"/>
      <c r="R223" s="14"/>
      <c r="S223" s="14"/>
      <c r="T223" s="14"/>
    </row>
    <row r="224" spans="1:20" s="6" customFormat="1" ht="17.25" customHeight="1">
      <c r="A224" s="60" t="s">
        <v>36</v>
      </c>
      <c r="B224" s="65">
        <v>17</v>
      </c>
      <c r="C224" s="65">
        <v>7</v>
      </c>
      <c r="D224" s="65">
        <v>81</v>
      </c>
      <c r="E224" s="65">
        <v>819</v>
      </c>
      <c r="F224" s="115" t="s">
        <v>17</v>
      </c>
      <c r="G224" s="115" t="s">
        <v>12</v>
      </c>
      <c r="H224" s="65"/>
      <c r="I224" s="65"/>
      <c r="J224" s="176"/>
      <c r="K224" s="68"/>
      <c r="L224" s="113"/>
      <c r="M224" s="177">
        <f>M225</f>
        <v>2996165</v>
      </c>
      <c r="N224" s="177">
        <f t="shared" si="15"/>
        <v>0</v>
      </c>
      <c r="O224" s="177">
        <f t="shared" si="15"/>
        <v>0</v>
      </c>
      <c r="P224" s="61">
        <f t="shared" si="14"/>
        <v>0</v>
      </c>
      <c r="Q224" s="14"/>
      <c r="R224" s="14"/>
      <c r="S224" s="14"/>
      <c r="T224" s="14"/>
    </row>
    <row r="225" spans="1:20" s="6" customFormat="1" ht="25.5" customHeight="1">
      <c r="A225" s="60" t="s">
        <v>79</v>
      </c>
      <c r="B225" s="65">
        <v>17</v>
      </c>
      <c r="C225" s="65">
        <v>7</v>
      </c>
      <c r="D225" s="65">
        <v>81</v>
      </c>
      <c r="E225" s="65">
        <v>819</v>
      </c>
      <c r="F225" s="115" t="s">
        <v>17</v>
      </c>
      <c r="G225" s="115" t="s">
        <v>12</v>
      </c>
      <c r="H225" s="65">
        <v>11270</v>
      </c>
      <c r="I225" s="65"/>
      <c r="J225" s="176"/>
      <c r="K225" s="68"/>
      <c r="L225" s="113"/>
      <c r="M225" s="177">
        <f>M226</f>
        <v>2996165</v>
      </c>
      <c r="N225" s="177">
        <f t="shared" si="15"/>
        <v>0</v>
      </c>
      <c r="O225" s="177">
        <f t="shared" si="15"/>
        <v>0</v>
      </c>
      <c r="P225" s="61">
        <f t="shared" si="14"/>
        <v>0</v>
      </c>
      <c r="Q225" s="14"/>
      <c r="R225" s="14"/>
      <c r="S225" s="14"/>
      <c r="T225" s="14"/>
    </row>
    <row r="226" spans="1:20" s="6" customFormat="1" ht="26.25" customHeight="1">
      <c r="A226" s="60" t="s">
        <v>75</v>
      </c>
      <c r="B226" s="65">
        <v>17</v>
      </c>
      <c r="C226" s="65">
        <v>7</v>
      </c>
      <c r="D226" s="65">
        <v>81</v>
      </c>
      <c r="E226" s="65">
        <v>819</v>
      </c>
      <c r="F226" s="115" t="s">
        <v>17</v>
      </c>
      <c r="G226" s="115" t="s">
        <v>12</v>
      </c>
      <c r="H226" s="65">
        <v>11270</v>
      </c>
      <c r="I226" s="65">
        <v>522</v>
      </c>
      <c r="J226" s="176"/>
      <c r="K226" s="68"/>
      <c r="L226" s="113"/>
      <c r="M226" s="177">
        <f>M227</f>
        <v>2996165</v>
      </c>
      <c r="N226" s="177">
        <f t="shared" si="15"/>
        <v>0</v>
      </c>
      <c r="O226" s="177">
        <f t="shared" si="15"/>
        <v>0</v>
      </c>
      <c r="P226" s="61">
        <f t="shared" si="14"/>
        <v>0</v>
      </c>
      <c r="Q226" s="14"/>
      <c r="R226" s="14"/>
      <c r="S226" s="14"/>
      <c r="T226" s="14"/>
    </row>
    <row r="227" spans="1:20" s="6" customFormat="1" ht="15.75" customHeight="1">
      <c r="A227" s="60" t="s">
        <v>90</v>
      </c>
      <c r="B227" s="63"/>
      <c r="C227" s="63"/>
      <c r="D227" s="63"/>
      <c r="E227" s="63"/>
      <c r="F227" s="157"/>
      <c r="G227" s="63"/>
      <c r="H227" s="63"/>
      <c r="I227" s="63"/>
      <c r="J227" s="68"/>
      <c r="K227" s="68"/>
      <c r="L227" s="113"/>
      <c r="M227" s="177">
        <f>M228</f>
        <v>2996165</v>
      </c>
      <c r="N227" s="177">
        <f t="shared" si="15"/>
        <v>0</v>
      </c>
      <c r="O227" s="177">
        <f t="shared" si="15"/>
        <v>0</v>
      </c>
      <c r="P227" s="61">
        <f t="shared" si="14"/>
        <v>0</v>
      </c>
      <c r="Q227" s="14"/>
      <c r="R227" s="14"/>
      <c r="S227" s="14"/>
      <c r="T227" s="14"/>
    </row>
    <row r="228" spans="1:20" s="6" customFormat="1" ht="25.5" customHeight="1">
      <c r="A228" s="62" t="s">
        <v>160</v>
      </c>
      <c r="B228" s="63">
        <v>17</v>
      </c>
      <c r="C228" s="63">
        <v>7</v>
      </c>
      <c r="D228" s="63">
        <v>81</v>
      </c>
      <c r="E228" s="63">
        <v>819</v>
      </c>
      <c r="F228" s="157" t="s">
        <v>17</v>
      </c>
      <c r="G228" s="157" t="s">
        <v>12</v>
      </c>
      <c r="H228" s="63">
        <v>11270</v>
      </c>
      <c r="I228" s="63">
        <v>522</v>
      </c>
      <c r="J228" s="68" t="s">
        <v>58</v>
      </c>
      <c r="K228" s="68">
        <v>200</v>
      </c>
      <c r="L228" s="113"/>
      <c r="M228" s="49">
        <v>2996165</v>
      </c>
      <c r="N228" s="64"/>
      <c r="O228" s="64"/>
      <c r="P228" s="66">
        <f t="shared" si="14"/>
        <v>0</v>
      </c>
      <c r="Q228" s="14"/>
      <c r="R228" s="14"/>
      <c r="S228" s="14"/>
      <c r="T228" s="14"/>
    </row>
    <row r="229" spans="1:20" ht="39.75" customHeight="1">
      <c r="A229" s="60" t="s">
        <v>103</v>
      </c>
      <c r="B229" s="65" t="s">
        <v>44</v>
      </c>
      <c r="C229" s="65">
        <v>0</v>
      </c>
      <c r="D229" s="65"/>
      <c r="E229" s="63"/>
      <c r="F229" s="63"/>
      <c r="G229" s="63"/>
      <c r="H229" s="63"/>
      <c r="I229" s="63"/>
      <c r="J229" s="68"/>
      <c r="K229" s="68"/>
      <c r="L229" s="68"/>
      <c r="M229" s="129">
        <f>M230+M239+M284</f>
        <v>436566824.86</v>
      </c>
      <c r="N229" s="129">
        <f>N230+N239+N284</f>
        <v>155745571.85</v>
      </c>
      <c r="O229" s="129">
        <f>O230+O239+O284</f>
        <v>330517280.85</v>
      </c>
      <c r="P229" s="61">
        <f t="shared" si="14"/>
        <v>75.70829069661708</v>
      </c>
      <c r="Q229" s="14"/>
      <c r="R229" s="14"/>
      <c r="S229" s="14"/>
      <c r="T229" s="14"/>
    </row>
    <row r="230" spans="1:20" ht="48.75" customHeight="1">
      <c r="A230" s="60" t="s">
        <v>45</v>
      </c>
      <c r="B230" s="65" t="s">
        <v>44</v>
      </c>
      <c r="C230" s="65" t="s">
        <v>7</v>
      </c>
      <c r="D230" s="65"/>
      <c r="E230" s="63"/>
      <c r="F230" s="63"/>
      <c r="G230" s="63"/>
      <c r="H230" s="63"/>
      <c r="I230" s="63"/>
      <c r="J230" s="68"/>
      <c r="K230" s="68"/>
      <c r="L230" s="68"/>
      <c r="M230" s="129">
        <f>M232</f>
        <v>162290096</v>
      </c>
      <c r="N230" s="129">
        <f>N232</f>
        <v>0</v>
      </c>
      <c r="O230" s="129">
        <f>O232</f>
        <v>162290096</v>
      </c>
      <c r="P230" s="61">
        <f t="shared" si="14"/>
        <v>100</v>
      </c>
      <c r="Q230" s="14"/>
      <c r="R230" s="14"/>
      <c r="S230" s="14"/>
      <c r="T230" s="14"/>
    </row>
    <row r="231" spans="1:20" ht="50.25" customHeight="1">
      <c r="A231" s="60" t="s">
        <v>188</v>
      </c>
      <c r="B231" s="60" t="s">
        <v>44</v>
      </c>
      <c r="C231" s="60" t="s">
        <v>7</v>
      </c>
      <c r="D231" s="60">
        <v>13</v>
      </c>
      <c r="E231" s="63"/>
      <c r="F231" s="63"/>
      <c r="G231" s="63"/>
      <c r="H231" s="63"/>
      <c r="I231" s="63"/>
      <c r="J231" s="68"/>
      <c r="K231" s="68"/>
      <c r="L231" s="68"/>
      <c r="M231" s="129">
        <f aca="true" t="shared" si="16" ref="M231:O236">M232</f>
        <v>162290096</v>
      </c>
      <c r="N231" s="129">
        <f t="shared" si="16"/>
        <v>0</v>
      </c>
      <c r="O231" s="129">
        <f t="shared" si="16"/>
        <v>162290096</v>
      </c>
      <c r="P231" s="61">
        <f t="shared" si="14"/>
        <v>100</v>
      </c>
      <c r="Q231" s="14"/>
      <c r="R231" s="14"/>
      <c r="S231" s="14"/>
      <c r="T231" s="14"/>
    </row>
    <row r="232" spans="1:20" ht="14.25" customHeight="1">
      <c r="A232" s="60" t="s">
        <v>24</v>
      </c>
      <c r="B232" s="65" t="s">
        <v>44</v>
      </c>
      <c r="C232" s="65" t="s">
        <v>7</v>
      </c>
      <c r="D232" s="60">
        <v>13</v>
      </c>
      <c r="E232" s="65" t="s">
        <v>29</v>
      </c>
      <c r="F232" s="65" t="s">
        <v>20</v>
      </c>
      <c r="G232" s="65" t="s">
        <v>0</v>
      </c>
      <c r="H232" s="63"/>
      <c r="I232" s="63"/>
      <c r="J232" s="68"/>
      <c r="K232" s="68"/>
      <c r="L232" s="68"/>
      <c r="M232" s="129">
        <f t="shared" si="16"/>
        <v>162290096</v>
      </c>
      <c r="N232" s="129">
        <f t="shared" si="16"/>
        <v>0</v>
      </c>
      <c r="O232" s="129">
        <f t="shared" si="16"/>
        <v>162290096</v>
      </c>
      <c r="P232" s="61">
        <f t="shared" si="14"/>
        <v>100</v>
      </c>
      <c r="Q232" s="14"/>
      <c r="R232" s="14"/>
      <c r="S232" s="14"/>
      <c r="T232" s="14"/>
    </row>
    <row r="233" spans="1:20" ht="14.25" customHeight="1">
      <c r="A233" s="60" t="s">
        <v>26</v>
      </c>
      <c r="B233" s="65" t="s">
        <v>44</v>
      </c>
      <c r="C233" s="65" t="s">
        <v>7</v>
      </c>
      <c r="D233" s="60">
        <v>13</v>
      </c>
      <c r="E233" s="65" t="s">
        <v>29</v>
      </c>
      <c r="F233" s="65" t="s">
        <v>20</v>
      </c>
      <c r="G233" s="65" t="s">
        <v>12</v>
      </c>
      <c r="H233" s="63"/>
      <c r="I233" s="63"/>
      <c r="J233" s="68"/>
      <c r="K233" s="68"/>
      <c r="L233" s="68"/>
      <c r="M233" s="129">
        <f t="shared" si="16"/>
        <v>162290096</v>
      </c>
      <c r="N233" s="129">
        <f t="shared" si="16"/>
        <v>0</v>
      </c>
      <c r="O233" s="129">
        <f t="shared" si="16"/>
        <v>162290096</v>
      </c>
      <c r="P233" s="61">
        <f t="shared" si="14"/>
        <v>100</v>
      </c>
      <c r="Q233" s="14"/>
      <c r="R233" s="14"/>
      <c r="S233" s="14"/>
      <c r="T233" s="14"/>
    </row>
    <row r="234" spans="1:20" ht="25.5" customHeight="1">
      <c r="A234" s="60" t="s">
        <v>79</v>
      </c>
      <c r="B234" s="65" t="s">
        <v>44</v>
      </c>
      <c r="C234" s="65" t="s">
        <v>7</v>
      </c>
      <c r="D234" s="60">
        <v>13</v>
      </c>
      <c r="E234" s="65" t="s">
        <v>29</v>
      </c>
      <c r="F234" s="65" t="s">
        <v>20</v>
      </c>
      <c r="G234" s="65" t="s">
        <v>12</v>
      </c>
      <c r="H234" s="65">
        <v>11270</v>
      </c>
      <c r="I234" s="65" t="s">
        <v>0</v>
      </c>
      <c r="J234" s="176"/>
      <c r="K234" s="176"/>
      <c r="L234" s="68"/>
      <c r="M234" s="129">
        <f t="shared" si="16"/>
        <v>162290096</v>
      </c>
      <c r="N234" s="129">
        <f t="shared" si="16"/>
        <v>0</v>
      </c>
      <c r="O234" s="129">
        <f t="shared" si="16"/>
        <v>162290096</v>
      </c>
      <c r="P234" s="61">
        <f t="shared" si="14"/>
        <v>100</v>
      </c>
      <c r="Q234" s="14"/>
      <c r="R234" s="14"/>
      <c r="S234" s="14"/>
      <c r="T234" s="14"/>
    </row>
    <row r="235" spans="1:20" ht="27" customHeight="1">
      <c r="A235" s="60" t="s">
        <v>82</v>
      </c>
      <c r="B235" s="65" t="s">
        <v>44</v>
      </c>
      <c r="C235" s="65" t="s">
        <v>7</v>
      </c>
      <c r="D235" s="60">
        <v>13</v>
      </c>
      <c r="E235" s="65" t="s">
        <v>29</v>
      </c>
      <c r="F235" s="65" t="s">
        <v>20</v>
      </c>
      <c r="G235" s="65" t="s">
        <v>12</v>
      </c>
      <c r="H235" s="65">
        <v>11270</v>
      </c>
      <c r="I235" s="65">
        <v>522</v>
      </c>
      <c r="J235" s="176"/>
      <c r="K235" s="176"/>
      <c r="L235" s="68"/>
      <c r="M235" s="129">
        <f t="shared" si="16"/>
        <v>162290096</v>
      </c>
      <c r="N235" s="129">
        <f t="shared" si="16"/>
        <v>0</v>
      </c>
      <c r="O235" s="129">
        <f t="shared" si="16"/>
        <v>162290096</v>
      </c>
      <c r="P235" s="61">
        <f t="shared" si="14"/>
        <v>100</v>
      </c>
      <c r="Q235" s="14"/>
      <c r="R235" s="14"/>
      <c r="S235" s="14"/>
      <c r="T235" s="14"/>
    </row>
    <row r="236" spans="1:20" ht="13.5" customHeight="1">
      <c r="A236" s="73" t="s">
        <v>67</v>
      </c>
      <c r="B236" s="65"/>
      <c r="C236" s="65"/>
      <c r="D236" s="65"/>
      <c r="E236" s="65"/>
      <c r="F236" s="65"/>
      <c r="G236" s="65"/>
      <c r="H236" s="65"/>
      <c r="I236" s="65"/>
      <c r="J236" s="176"/>
      <c r="K236" s="176"/>
      <c r="L236" s="68"/>
      <c r="M236" s="129">
        <f t="shared" si="16"/>
        <v>162290096</v>
      </c>
      <c r="N236" s="129">
        <f t="shared" si="16"/>
        <v>0</v>
      </c>
      <c r="O236" s="129">
        <f t="shared" si="16"/>
        <v>162290096</v>
      </c>
      <c r="P236" s="61">
        <f t="shared" si="14"/>
        <v>100</v>
      </c>
      <c r="Q236" s="14"/>
      <c r="R236" s="14"/>
      <c r="S236" s="14"/>
      <c r="T236" s="14"/>
    </row>
    <row r="237" spans="1:20" ht="15" customHeight="1">
      <c r="A237" s="62" t="s">
        <v>162</v>
      </c>
      <c r="B237" s="63" t="s">
        <v>44</v>
      </c>
      <c r="C237" s="63" t="s">
        <v>7</v>
      </c>
      <c r="D237" s="63">
        <v>13</v>
      </c>
      <c r="E237" s="63" t="s">
        <v>29</v>
      </c>
      <c r="F237" s="63" t="s">
        <v>20</v>
      </c>
      <c r="G237" s="63" t="s">
        <v>12</v>
      </c>
      <c r="H237" s="63">
        <v>11270</v>
      </c>
      <c r="I237" s="63">
        <v>522</v>
      </c>
      <c r="J237" s="68" t="s">
        <v>83</v>
      </c>
      <c r="K237" s="68">
        <v>98</v>
      </c>
      <c r="L237" s="68"/>
      <c r="M237" s="64">
        <f>161696062+594034</f>
        <v>162290096</v>
      </c>
      <c r="N237" s="51">
        <v>0</v>
      </c>
      <c r="O237" s="51">
        <v>162290096</v>
      </c>
      <c r="P237" s="66">
        <f t="shared" si="14"/>
        <v>100</v>
      </c>
      <c r="Q237" s="14"/>
      <c r="R237" s="14"/>
      <c r="S237" s="14"/>
      <c r="T237" s="14"/>
    </row>
    <row r="238" spans="1:20" ht="24.75" customHeight="1">
      <c r="A238" s="71" t="s">
        <v>236</v>
      </c>
      <c r="B238" s="63"/>
      <c r="C238" s="63"/>
      <c r="D238" s="63"/>
      <c r="E238" s="63"/>
      <c r="F238" s="63"/>
      <c r="G238" s="63"/>
      <c r="H238" s="63"/>
      <c r="I238" s="63"/>
      <c r="J238" s="68"/>
      <c r="K238" s="68"/>
      <c r="L238" s="68"/>
      <c r="M238" s="67">
        <v>162290096</v>
      </c>
      <c r="N238" s="43">
        <v>0</v>
      </c>
      <c r="O238" s="43">
        <v>162290096</v>
      </c>
      <c r="P238" s="69">
        <f t="shared" si="14"/>
        <v>100</v>
      </c>
      <c r="Q238" s="14"/>
      <c r="R238" s="14"/>
      <c r="S238" s="14"/>
      <c r="T238" s="14"/>
    </row>
    <row r="239" spans="1:20" ht="30" customHeight="1">
      <c r="A239" s="60" t="s">
        <v>46</v>
      </c>
      <c r="B239" s="65" t="s">
        <v>44</v>
      </c>
      <c r="C239" s="65" t="s">
        <v>8</v>
      </c>
      <c r="D239" s="65"/>
      <c r="E239" s="65" t="s">
        <v>0</v>
      </c>
      <c r="F239" s="65" t="s">
        <v>0</v>
      </c>
      <c r="G239" s="65" t="s">
        <v>0</v>
      </c>
      <c r="H239" s="65"/>
      <c r="I239" s="65"/>
      <c r="J239" s="176"/>
      <c r="K239" s="176"/>
      <c r="L239" s="68"/>
      <c r="M239" s="129">
        <f>M241</f>
        <v>16566432.86</v>
      </c>
      <c r="N239" s="129">
        <f>N241</f>
        <v>5212460.1</v>
      </c>
      <c r="O239" s="129">
        <f>O241</f>
        <v>13784479.1</v>
      </c>
      <c r="P239" s="61">
        <f t="shared" si="14"/>
        <v>83.20728557855634</v>
      </c>
      <c r="Q239" s="14"/>
      <c r="R239" s="14"/>
      <c r="S239" s="14"/>
      <c r="T239" s="14"/>
    </row>
    <row r="240" spans="1:20" ht="36.75" customHeight="1">
      <c r="A240" s="60" t="s">
        <v>189</v>
      </c>
      <c r="B240" s="60" t="s">
        <v>44</v>
      </c>
      <c r="C240" s="60" t="s">
        <v>8</v>
      </c>
      <c r="D240" s="60">
        <v>14</v>
      </c>
      <c r="E240" s="65"/>
      <c r="F240" s="65"/>
      <c r="G240" s="65"/>
      <c r="H240" s="65"/>
      <c r="I240" s="65"/>
      <c r="J240" s="176"/>
      <c r="K240" s="176"/>
      <c r="L240" s="68"/>
      <c r="M240" s="129">
        <f>M241</f>
        <v>16566432.86</v>
      </c>
      <c r="N240" s="129">
        <f aca="true" t="shared" si="17" ref="N240:O243">N241</f>
        <v>5212460.1</v>
      </c>
      <c r="O240" s="129">
        <f t="shared" si="17"/>
        <v>13784479.1</v>
      </c>
      <c r="P240" s="61">
        <f t="shared" si="14"/>
        <v>83.20728557855634</v>
      </c>
      <c r="Q240" s="14"/>
      <c r="R240" s="14"/>
      <c r="S240" s="14"/>
      <c r="T240" s="14"/>
    </row>
    <row r="241" spans="1:20" ht="15" customHeight="1">
      <c r="A241" s="60" t="s">
        <v>21</v>
      </c>
      <c r="B241" s="65" t="s">
        <v>44</v>
      </c>
      <c r="C241" s="65" t="s">
        <v>8</v>
      </c>
      <c r="D241" s="60">
        <v>14</v>
      </c>
      <c r="E241" s="65" t="s">
        <v>29</v>
      </c>
      <c r="F241" s="65" t="s">
        <v>15</v>
      </c>
      <c r="G241" s="65" t="s">
        <v>0</v>
      </c>
      <c r="H241" s="65"/>
      <c r="I241" s="65"/>
      <c r="J241" s="176"/>
      <c r="K241" s="176"/>
      <c r="L241" s="68"/>
      <c r="M241" s="129">
        <f>M242</f>
        <v>16566432.86</v>
      </c>
      <c r="N241" s="129">
        <f t="shared" si="17"/>
        <v>5212460.1</v>
      </c>
      <c r="O241" s="129">
        <f t="shared" si="17"/>
        <v>13784479.1</v>
      </c>
      <c r="P241" s="61">
        <f t="shared" si="14"/>
        <v>83.20728557855634</v>
      </c>
      <c r="Q241" s="14"/>
      <c r="R241" s="14"/>
      <c r="S241" s="14"/>
      <c r="T241" s="14"/>
    </row>
    <row r="242" spans="1:20" ht="15" customHeight="1">
      <c r="A242" s="60" t="s">
        <v>23</v>
      </c>
      <c r="B242" s="65" t="s">
        <v>44</v>
      </c>
      <c r="C242" s="65" t="s">
        <v>8</v>
      </c>
      <c r="D242" s="60">
        <v>14</v>
      </c>
      <c r="E242" s="65" t="s">
        <v>29</v>
      </c>
      <c r="F242" s="65" t="s">
        <v>15</v>
      </c>
      <c r="G242" s="65" t="s">
        <v>13</v>
      </c>
      <c r="H242" s="65"/>
      <c r="I242" s="65"/>
      <c r="J242" s="176"/>
      <c r="K242" s="176"/>
      <c r="L242" s="68"/>
      <c r="M242" s="129">
        <f>M243</f>
        <v>16566432.86</v>
      </c>
      <c r="N242" s="129">
        <f t="shared" si="17"/>
        <v>5212460.1</v>
      </c>
      <c r="O242" s="129">
        <f t="shared" si="17"/>
        <v>13784479.1</v>
      </c>
      <c r="P242" s="61">
        <f t="shared" si="14"/>
        <v>83.20728557855634</v>
      </c>
      <c r="Q242" s="14"/>
      <c r="R242" s="14"/>
      <c r="S242" s="14"/>
      <c r="T242" s="14"/>
    </row>
    <row r="243" spans="1:20" ht="24.75" customHeight="1">
      <c r="A243" s="60" t="s">
        <v>79</v>
      </c>
      <c r="B243" s="65" t="s">
        <v>44</v>
      </c>
      <c r="C243" s="65" t="s">
        <v>8</v>
      </c>
      <c r="D243" s="60">
        <v>14</v>
      </c>
      <c r="E243" s="65" t="s">
        <v>29</v>
      </c>
      <c r="F243" s="65" t="s">
        <v>15</v>
      </c>
      <c r="G243" s="65" t="s">
        <v>13</v>
      </c>
      <c r="H243" s="65">
        <v>11270</v>
      </c>
      <c r="I243" s="65" t="s">
        <v>0</v>
      </c>
      <c r="J243" s="176"/>
      <c r="K243" s="176"/>
      <c r="L243" s="68"/>
      <c r="M243" s="129">
        <f>M244</f>
        <v>16566432.86</v>
      </c>
      <c r="N243" s="129">
        <f t="shared" si="17"/>
        <v>5212460.1</v>
      </c>
      <c r="O243" s="129">
        <f t="shared" si="17"/>
        <v>13784479.1</v>
      </c>
      <c r="P243" s="61">
        <f t="shared" si="14"/>
        <v>83.20728557855634</v>
      </c>
      <c r="Q243" s="14"/>
      <c r="R243" s="14"/>
      <c r="S243" s="14"/>
      <c r="T243" s="14"/>
    </row>
    <row r="244" spans="1:20" ht="25.5" customHeight="1">
      <c r="A244" s="60" t="s">
        <v>75</v>
      </c>
      <c r="B244" s="65" t="s">
        <v>44</v>
      </c>
      <c r="C244" s="65" t="s">
        <v>8</v>
      </c>
      <c r="D244" s="60">
        <v>14</v>
      </c>
      <c r="E244" s="65" t="s">
        <v>29</v>
      </c>
      <c r="F244" s="65" t="s">
        <v>15</v>
      </c>
      <c r="G244" s="65" t="s">
        <v>13</v>
      </c>
      <c r="H244" s="65">
        <v>11270</v>
      </c>
      <c r="I244" s="65" t="s">
        <v>76</v>
      </c>
      <c r="J244" s="176"/>
      <c r="K244" s="176"/>
      <c r="L244" s="68"/>
      <c r="M244" s="129">
        <f>M249+M265+M278+M245</f>
        <v>16566432.86</v>
      </c>
      <c r="N244" s="129">
        <f>N249+N265+N278+N245</f>
        <v>5212460.1</v>
      </c>
      <c r="O244" s="129">
        <f>O249+O265+O278+O245</f>
        <v>13784479.1</v>
      </c>
      <c r="P244" s="61">
        <f t="shared" si="14"/>
        <v>83.20728557855634</v>
      </c>
      <c r="Q244" s="14"/>
      <c r="R244" s="14"/>
      <c r="S244" s="14"/>
      <c r="T244" s="14"/>
    </row>
    <row r="245" spans="1:20" ht="18" customHeight="1">
      <c r="A245" s="60" t="s">
        <v>318</v>
      </c>
      <c r="B245" s="65" t="s">
        <v>44</v>
      </c>
      <c r="C245" s="65" t="s">
        <v>8</v>
      </c>
      <c r="D245" s="60">
        <v>14</v>
      </c>
      <c r="E245" s="65" t="s">
        <v>29</v>
      </c>
      <c r="F245" s="65" t="s">
        <v>15</v>
      </c>
      <c r="G245" s="65" t="s">
        <v>13</v>
      </c>
      <c r="H245" s="65">
        <v>11270</v>
      </c>
      <c r="I245" s="65" t="s">
        <v>76</v>
      </c>
      <c r="J245" s="176"/>
      <c r="K245" s="176"/>
      <c r="L245" s="68"/>
      <c r="M245" s="129">
        <f aca="true" t="shared" si="18" ref="M245:O246">M246</f>
        <v>4382432</v>
      </c>
      <c r="N245" s="129">
        <f t="shared" si="18"/>
        <v>0</v>
      </c>
      <c r="O245" s="129">
        <f t="shared" si="18"/>
        <v>4382432</v>
      </c>
      <c r="P245" s="61">
        <f t="shared" si="14"/>
        <v>100</v>
      </c>
      <c r="Q245" s="14"/>
      <c r="R245" s="14"/>
      <c r="S245" s="14"/>
      <c r="T245" s="14"/>
    </row>
    <row r="246" spans="1:20" ht="15" customHeight="1">
      <c r="A246" s="73" t="s">
        <v>61</v>
      </c>
      <c r="B246" s="65"/>
      <c r="C246" s="65"/>
      <c r="D246" s="60"/>
      <c r="E246" s="65"/>
      <c r="F246" s="65"/>
      <c r="G246" s="65"/>
      <c r="H246" s="65"/>
      <c r="I246" s="65"/>
      <c r="J246" s="176"/>
      <c r="K246" s="176"/>
      <c r="L246" s="68"/>
      <c r="M246" s="129">
        <f t="shared" si="18"/>
        <v>4382432</v>
      </c>
      <c r="N246" s="129">
        <f t="shared" si="18"/>
        <v>0</v>
      </c>
      <c r="O246" s="129">
        <f t="shared" si="18"/>
        <v>4382432</v>
      </c>
      <c r="P246" s="61">
        <f t="shared" si="14"/>
        <v>100</v>
      </c>
      <c r="Q246" s="14"/>
      <c r="R246" s="14"/>
      <c r="S246" s="14"/>
      <c r="T246" s="14"/>
    </row>
    <row r="247" spans="1:20" ht="24" customHeight="1">
      <c r="A247" s="62" t="s">
        <v>319</v>
      </c>
      <c r="B247" s="63" t="s">
        <v>44</v>
      </c>
      <c r="C247" s="63" t="s">
        <v>8</v>
      </c>
      <c r="D247" s="62">
        <v>14</v>
      </c>
      <c r="E247" s="63" t="s">
        <v>29</v>
      </c>
      <c r="F247" s="63" t="s">
        <v>15</v>
      </c>
      <c r="G247" s="63" t="s">
        <v>13</v>
      </c>
      <c r="H247" s="63">
        <v>11270</v>
      </c>
      <c r="I247" s="63" t="s">
        <v>76</v>
      </c>
      <c r="J247" s="70" t="s">
        <v>320</v>
      </c>
      <c r="K247" s="68">
        <v>3000</v>
      </c>
      <c r="L247" s="68">
        <v>2016</v>
      </c>
      <c r="M247" s="40">
        <v>4382432</v>
      </c>
      <c r="N247" s="42">
        <v>0</v>
      </c>
      <c r="O247" s="42">
        <v>4382432</v>
      </c>
      <c r="P247" s="66">
        <f t="shared" si="14"/>
        <v>100</v>
      </c>
      <c r="Q247" s="14"/>
      <c r="R247" s="14"/>
      <c r="S247" s="14"/>
      <c r="T247" s="14"/>
    </row>
    <row r="248" spans="1:20" ht="24.75" customHeight="1">
      <c r="A248" s="71" t="s">
        <v>200</v>
      </c>
      <c r="B248" s="65"/>
      <c r="C248" s="65"/>
      <c r="D248" s="60"/>
      <c r="E248" s="65"/>
      <c r="F248" s="65"/>
      <c r="G248" s="65"/>
      <c r="H248" s="65"/>
      <c r="I248" s="65"/>
      <c r="J248" s="176"/>
      <c r="K248" s="176"/>
      <c r="L248" s="68"/>
      <c r="M248" s="44">
        <v>4382432</v>
      </c>
      <c r="N248" s="43">
        <v>0</v>
      </c>
      <c r="O248" s="43">
        <v>4382432</v>
      </c>
      <c r="P248" s="69">
        <f t="shared" si="14"/>
        <v>100</v>
      </c>
      <c r="Q248" s="14"/>
      <c r="R248" s="14"/>
      <c r="S248" s="14"/>
      <c r="T248" s="14"/>
    </row>
    <row r="249" spans="1:20" ht="25.5" customHeight="1">
      <c r="A249" s="60" t="s">
        <v>84</v>
      </c>
      <c r="B249" s="65" t="s">
        <v>44</v>
      </c>
      <c r="C249" s="65" t="s">
        <v>8</v>
      </c>
      <c r="D249" s="60">
        <v>14</v>
      </c>
      <c r="E249" s="65" t="s">
        <v>29</v>
      </c>
      <c r="F249" s="65" t="s">
        <v>15</v>
      </c>
      <c r="G249" s="65" t="s">
        <v>13</v>
      </c>
      <c r="H249" s="65">
        <v>11270</v>
      </c>
      <c r="I249" s="65" t="s">
        <v>76</v>
      </c>
      <c r="J249" s="68"/>
      <c r="K249" s="68"/>
      <c r="L249" s="68"/>
      <c r="M249" s="129">
        <f>M250+M253+M255+M260+M263+M257</f>
        <v>7529519.86</v>
      </c>
      <c r="N249" s="129">
        <f>N250+N253+N255+N260+N263+N257</f>
        <v>5212460.1</v>
      </c>
      <c r="O249" s="129">
        <f>O250+O253+O255+O260+O263+O257</f>
        <v>5297566.1</v>
      </c>
      <c r="P249" s="61">
        <f t="shared" si="14"/>
        <v>70.35728968779158</v>
      </c>
      <c r="Q249" s="14"/>
      <c r="R249" s="14"/>
      <c r="S249" s="14"/>
      <c r="T249" s="14"/>
    </row>
    <row r="250" spans="1:20" ht="14.25" customHeight="1">
      <c r="A250" s="60" t="s">
        <v>247</v>
      </c>
      <c r="B250" s="65"/>
      <c r="C250" s="65"/>
      <c r="D250" s="60"/>
      <c r="E250" s="65"/>
      <c r="F250" s="65"/>
      <c r="G250" s="65"/>
      <c r="H250" s="65"/>
      <c r="I250" s="65"/>
      <c r="J250" s="68"/>
      <c r="K250" s="68"/>
      <c r="L250" s="68"/>
      <c r="M250" s="129">
        <f>M251+M252</f>
        <v>123725.76000000001</v>
      </c>
      <c r="N250" s="129">
        <f>N251+N252</f>
        <v>0</v>
      </c>
      <c r="O250" s="129">
        <f>O251+O252</f>
        <v>0</v>
      </c>
      <c r="P250" s="61">
        <f t="shared" si="14"/>
        <v>0</v>
      </c>
      <c r="Q250" s="14"/>
      <c r="R250" s="14"/>
      <c r="S250" s="14"/>
      <c r="T250" s="14"/>
    </row>
    <row r="251" spans="1:20" ht="14.25" customHeight="1">
      <c r="A251" s="62" t="s">
        <v>246</v>
      </c>
      <c r="B251" s="63">
        <v>19</v>
      </c>
      <c r="C251" s="63">
        <v>2</v>
      </c>
      <c r="D251" s="63">
        <v>14</v>
      </c>
      <c r="E251" s="63">
        <v>819</v>
      </c>
      <c r="F251" s="157" t="s">
        <v>15</v>
      </c>
      <c r="G251" s="157" t="s">
        <v>13</v>
      </c>
      <c r="H251" s="63">
        <v>11270</v>
      </c>
      <c r="I251" s="63">
        <v>522</v>
      </c>
      <c r="J251" s="68" t="s">
        <v>63</v>
      </c>
      <c r="K251" s="68">
        <v>0.6</v>
      </c>
      <c r="L251" s="68">
        <v>2016</v>
      </c>
      <c r="M251" s="40">
        <v>41225.76</v>
      </c>
      <c r="N251" s="64"/>
      <c r="O251" s="64"/>
      <c r="P251" s="66">
        <f t="shared" si="14"/>
        <v>0</v>
      </c>
      <c r="Q251" s="14"/>
      <c r="R251" s="14"/>
      <c r="S251" s="14"/>
      <c r="T251" s="14"/>
    </row>
    <row r="252" spans="1:20" ht="13.5" customHeight="1">
      <c r="A252" s="62" t="s">
        <v>310</v>
      </c>
      <c r="B252" s="63">
        <v>19</v>
      </c>
      <c r="C252" s="63">
        <v>2</v>
      </c>
      <c r="D252" s="63">
        <v>14</v>
      </c>
      <c r="E252" s="63">
        <v>819</v>
      </c>
      <c r="F252" s="157" t="s">
        <v>15</v>
      </c>
      <c r="G252" s="157" t="s">
        <v>13</v>
      </c>
      <c r="H252" s="63">
        <v>11270</v>
      </c>
      <c r="I252" s="63">
        <v>522</v>
      </c>
      <c r="J252" s="68" t="s">
        <v>63</v>
      </c>
      <c r="K252" s="68">
        <v>0.5</v>
      </c>
      <c r="L252" s="68">
        <v>2016</v>
      </c>
      <c r="M252" s="40">
        <v>82500</v>
      </c>
      <c r="N252" s="64"/>
      <c r="O252" s="64"/>
      <c r="P252" s="66">
        <f t="shared" si="14"/>
        <v>0</v>
      </c>
      <c r="Q252" s="14"/>
      <c r="R252" s="14"/>
      <c r="S252" s="14"/>
      <c r="T252" s="14"/>
    </row>
    <row r="253" spans="1:20" ht="14.25" customHeight="1">
      <c r="A253" s="60" t="s">
        <v>61</v>
      </c>
      <c r="B253" s="65"/>
      <c r="C253" s="65"/>
      <c r="D253" s="65"/>
      <c r="E253" s="65"/>
      <c r="F253" s="65"/>
      <c r="G253" s="65"/>
      <c r="H253" s="65"/>
      <c r="I253" s="65"/>
      <c r="J253" s="68"/>
      <c r="K253" s="68"/>
      <c r="L253" s="68"/>
      <c r="M253" s="129">
        <f>M254</f>
        <v>1210050</v>
      </c>
      <c r="N253" s="129">
        <f>N254</f>
        <v>0</v>
      </c>
      <c r="O253" s="129">
        <f>O254</f>
        <v>0</v>
      </c>
      <c r="P253" s="61">
        <f t="shared" si="14"/>
        <v>0</v>
      </c>
      <c r="Q253" s="14"/>
      <c r="R253" s="14"/>
      <c r="S253" s="14"/>
      <c r="T253" s="14"/>
    </row>
    <row r="254" spans="1:20" ht="15.75" customHeight="1">
      <c r="A254" s="62" t="s">
        <v>168</v>
      </c>
      <c r="B254" s="63">
        <v>19</v>
      </c>
      <c r="C254" s="63">
        <v>2</v>
      </c>
      <c r="D254" s="63">
        <v>14</v>
      </c>
      <c r="E254" s="63">
        <v>819</v>
      </c>
      <c r="F254" s="157" t="s">
        <v>15</v>
      </c>
      <c r="G254" s="157" t="s">
        <v>13</v>
      </c>
      <c r="H254" s="63">
        <v>11270</v>
      </c>
      <c r="I254" s="63">
        <v>522</v>
      </c>
      <c r="J254" s="68" t="s">
        <v>63</v>
      </c>
      <c r="K254" s="68">
        <v>2.222</v>
      </c>
      <c r="L254" s="68">
        <v>2016</v>
      </c>
      <c r="M254" s="40">
        <v>1210050</v>
      </c>
      <c r="N254" s="64"/>
      <c r="O254" s="64"/>
      <c r="P254" s="66">
        <f t="shared" si="14"/>
        <v>0</v>
      </c>
      <c r="Q254" s="14"/>
      <c r="R254" s="14"/>
      <c r="S254" s="14"/>
      <c r="T254" s="14"/>
    </row>
    <row r="255" spans="1:20" ht="14.25" customHeight="1">
      <c r="A255" s="60" t="s">
        <v>166</v>
      </c>
      <c r="B255" s="63"/>
      <c r="C255" s="63"/>
      <c r="D255" s="63"/>
      <c r="E255" s="63"/>
      <c r="F255" s="157"/>
      <c r="G255" s="157"/>
      <c r="H255" s="63"/>
      <c r="I255" s="63"/>
      <c r="J255" s="68"/>
      <c r="K255" s="68"/>
      <c r="L255" s="68"/>
      <c r="M255" s="117">
        <f>M256</f>
        <v>3378563.85</v>
      </c>
      <c r="N255" s="117">
        <f>N256</f>
        <v>2848939.85</v>
      </c>
      <c r="O255" s="117">
        <f>O256</f>
        <v>2837340.85</v>
      </c>
      <c r="P255" s="61">
        <f t="shared" si="14"/>
        <v>83.98067865433416</v>
      </c>
      <c r="Q255" s="14"/>
      <c r="R255" s="14"/>
      <c r="S255" s="14"/>
      <c r="T255" s="14"/>
    </row>
    <row r="256" spans="1:20" ht="14.25" customHeight="1">
      <c r="A256" s="62" t="s">
        <v>167</v>
      </c>
      <c r="B256" s="63">
        <v>19</v>
      </c>
      <c r="C256" s="63">
        <v>2</v>
      </c>
      <c r="D256" s="63">
        <v>14</v>
      </c>
      <c r="E256" s="63">
        <v>819</v>
      </c>
      <c r="F256" s="157" t="s">
        <v>15</v>
      </c>
      <c r="G256" s="157" t="s">
        <v>13</v>
      </c>
      <c r="H256" s="63">
        <v>11270</v>
      </c>
      <c r="I256" s="63">
        <v>522</v>
      </c>
      <c r="J256" s="68" t="s">
        <v>63</v>
      </c>
      <c r="K256" s="68">
        <v>4.968</v>
      </c>
      <c r="L256" s="68">
        <v>2016</v>
      </c>
      <c r="M256" s="64">
        <v>3378563.85</v>
      </c>
      <c r="N256" s="55">
        <v>2848939.85</v>
      </c>
      <c r="O256" s="56">
        <v>2837340.85</v>
      </c>
      <c r="P256" s="66">
        <f t="shared" si="14"/>
        <v>83.98067865433416</v>
      </c>
      <c r="Q256" s="14"/>
      <c r="R256" s="14"/>
      <c r="S256" s="14"/>
      <c r="T256" s="14"/>
    </row>
    <row r="257" spans="1:16" s="14" customFormat="1" ht="14.25" customHeight="1">
      <c r="A257" s="60" t="s">
        <v>77</v>
      </c>
      <c r="B257" s="63"/>
      <c r="C257" s="63"/>
      <c r="D257" s="63"/>
      <c r="E257" s="63"/>
      <c r="F257" s="159"/>
      <c r="G257" s="159"/>
      <c r="H257" s="63"/>
      <c r="I257" s="63"/>
      <c r="J257" s="68"/>
      <c r="K257" s="68"/>
      <c r="L257" s="68"/>
      <c r="M257" s="117">
        <f>M258</f>
        <v>96705</v>
      </c>
      <c r="N257" s="117">
        <f>N258</f>
        <v>0</v>
      </c>
      <c r="O257" s="117">
        <f>O258</f>
        <v>96705</v>
      </c>
      <c r="P257" s="61">
        <f t="shared" si="14"/>
        <v>100</v>
      </c>
    </row>
    <row r="258" spans="1:16" s="14" customFormat="1" ht="24">
      <c r="A258" s="62" t="s">
        <v>311</v>
      </c>
      <c r="B258" s="63">
        <v>19</v>
      </c>
      <c r="C258" s="63">
        <v>2</v>
      </c>
      <c r="D258" s="63">
        <v>14</v>
      </c>
      <c r="E258" s="63">
        <v>819</v>
      </c>
      <c r="F258" s="159" t="s">
        <v>15</v>
      </c>
      <c r="G258" s="159" t="s">
        <v>13</v>
      </c>
      <c r="H258" s="63">
        <v>11270</v>
      </c>
      <c r="I258" s="63">
        <v>522</v>
      </c>
      <c r="J258" s="68" t="s">
        <v>63</v>
      </c>
      <c r="K258" s="68">
        <v>1.195</v>
      </c>
      <c r="L258" s="68"/>
      <c r="M258" s="64">
        <v>96705</v>
      </c>
      <c r="N258" s="42">
        <v>0</v>
      </c>
      <c r="O258" s="42">
        <v>96705</v>
      </c>
      <c r="P258" s="66">
        <f t="shared" si="14"/>
        <v>100</v>
      </c>
    </row>
    <row r="259" spans="1:16" s="14" customFormat="1" ht="23.25" customHeight="1">
      <c r="A259" s="71" t="s">
        <v>200</v>
      </c>
      <c r="B259" s="63"/>
      <c r="C259" s="63"/>
      <c r="D259" s="63"/>
      <c r="E259" s="63"/>
      <c r="F259" s="159"/>
      <c r="G259" s="159"/>
      <c r="H259" s="63"/>
      <c r="I259" s="63"/>
      <c r="J259" s="68"/>
      <c r="K259" s="68"/>
      <c r="L259" s="68"/>
      <c r="M259" s="67">
        <v>96705</v>
      </c>
      <c r="N259" s="43">
        <v>0</v>
      </c>
      <c r="O259" s="43">
        <v>96705</v>
      </c>
      <c r="P259" s="69">
        <f t="shared" si="14"/>
        <v>100</v>
      </c>
    </row>
    <row r="260" spans="1:20" ht="12.75">
      <c r="A260" s="73" t="s">
        <v>163</v>
      </c>
      <c r="B260" s="63"/>
      <c r="C260" s="63"/>
      <c r="D260" s="63"/>
      <c r="E260" s="63"/>
      <c r="F260" s="157"/>
      <c r="G260" s="157"/>
      <c r="H260" s="63"/>
      <c r="I260" s="63"/>
      <c r="J260" s="68"/>
      <c r="K260" s="68"/>
      <c r="L260" s="68"/>
      <c r="M260" s="117">
        <f>M261+M262</f>
        <v>2710475.25</v>
      </c>
      <c r="N260" s="117">
        <f>N261+N262</f>
        <v>2363520.25</v>
      </c>
      <c r="O260" s="117">
        <f>O261+O262</f>
        <v>2363520.25</v>
      </c>
      <c r="P260" s="61">
        <f t="shared" si="14"/>
        <v>87.19947728723957</v>
      </c>
      <c r="Q260" s="14"/>
      <c r="R260" s="14"/>
      <c r="S260" s="14"/>
      <c r="T260" s="14"/>
    </row>
    <row r="261" spans="1:20" ht="14.25" customHeight="1">
      <c r="A261" s="182" t="s">
        <v>164</v>
      </c>
      <c r="B261" s="63">
        <v>19</v>
      </c>
      <c r="C261" s="63">
        <v>2</v>
      </c>
      <c r="D261" s="63">
        <v>14</v>
      </c>
      <c r="E261" s="63">
        <v>819</v>
      </c>
      <c r="F261" s="157" t="s">
        <v>15</v>
      </c>
      <c r="G261" s="157" t="s">
        <v>13</v>
      </c>
      <c r="H261" s="63">
        <v>11270</v>
      </c>
      <c r="I261" s="63">
        <v>522</v>
      </c>
      <c r="J261" s="68" t="s">
        <v>63</v>
      </c>
      <c r="K261" s="68">
        <v>2.822</v>
      </c>
      <c r="L261" s="68">
        <v>2016</v>
      </c>
      <c r="M261" s="64">
        <v>1765475.25</v>
      </c>
      <c r="N261" s="57">
        <v>1439579.25</v>
      </c>
      <c r="O261" s="57">
        <v>1439579.25</v>
      </c>
      <c r="P261" s="66">
        <f t="shared" si="14"/>
        <v>81.54060783349979</v>
      </c>
      <c r="Q261" s="14"/>
      <c r="R261" s="14"/>
      <c r="S261" s="14"/>
      <c r="T261" s="14"/>
    </row>
    <row r="262" spans="1:20" ht="15" customHeight="1">
      <c r="A262" s="182" t="s">
        <v>165</v>
      </c>
      <c r="B262" s="63">
        <v>19</v>
      </c>
      <c r="C262" s="63">
        <v>2</v>
      </c>
      <c r="D262" s="63">
        <v>14</v>
      </c>
      <c r="E262" s="63">
        <v>819</v>
      </c>
      <c r="F262" s="157" t="s">
        <v>15</v>
      </c>
      <c r="G262" s="157" t="s">
        <v>13</v>
      </c>
      <c r="H262" s="63">
        <v>11270</v>
      </c>
      <c r="I262" s="63">
        <v>522</v>
      </c>
      <c r="J262" s="68" t="s">
        <v>63</v>
      </c>
      <c r="K262" s="68">
        <v>1.463</v>
      </c>
      <c r="L262" s="68">
        <v>2016</v>
      </c>
      <c r="M262" s="64">
        <v>945000</v>
      </c>
      <c r="N262" s="57">
        <v>923941</v>
      </c>
      <c r="O262" s="57">
        <v>923941</v>
      </c>
      <c r="P262" s="66">
        <f t="shared" si="14"/>
        <v>97.77153439153439</v>
      </c>
      <c r="Q262" s="14"/>
      <c r="R262" s="14"/>
      <c r="S262" s="14"/>
      <c r="T262" s="14"/>
    </row>
    <row r="263" spans="1:20" ht="15.75" customHeight="1">
      <c r="A263" s="73" t="s">
        <v>92</v>
      </c>
      <c r="B263" s="63"/>
      <c r="C263" s="63"/>
      <c r="D263" s="63"/>
      <c r="E263" s="63"/>
      <c r="F263" s="157"/>
      <c r="G263" s="157"/>
      <c r="H263" s="63"/>
      <c r="I263" s="63"/>
      <c r="J263" s="68"/>
      <c r="K263" s="68"/>
      <c r="L263" s="68"/>
      <c r="M263" s="117">
        <f>M264</f>
        <v>10000</v>
      </c>
      <c r="N263" s="117">
        <f>N264</f>
        <v>0</v>
      </c>
      <c r="O263" s="117">
        <f>O264</f>
        <v>0</v>
      </c>
      <c r="P263" s="61">
        <f t="shared" si="14"/>
        <v>0</v>
      </c>
      <c r="Q263" s="14"/>
      <c r="R263" s="14"/>
      <c r="S263" s="14"/>
      <c r="T263" s="14"/>
    </row>
    <row r="264" spans="1:20" ht="15" customHeight="1">
      <c r="A264" s="182" t="s">
        <v>312</v>
      </c>
      <c r="B264" s="63">
        <v>19</v>
      </c>
      <c r="C264" s="63">
        <v>2</v>
      </c>
      <c r="D264" s="63">
        <v>14</v>
      </c>
      <c r="E264" s="63">
        <v>819</v>
      </c>
      <c r="F264" s="157" t="s">
        <v>15</v>
      </c>
      <c r="G264" s="157" t="s">
        <v>13</v>
      </c>
      <c r="H264" s="63">
        <v>11270</v>
      </c>
      <c r="I264" s="63">
        <v>522</v>
      </c>
      <c r="J264" s="68"/>
      <c r="K264" s="68"/>
      <c r="L264" s="68"/>
      <c r="M264" s="64">
        <v>10000</v>
      </c>
      <c r="N264" s="64"/>
      <c r="O264" s="64"/>
      <c r="P264" s="66">
        <f aca="true" t="shared" si="19" ref="P264:P327">O264/M264*100</f>
        <v>0</v>
      </c>
      <c r="Q264" s="14"/>
      <c r="R264" s="14"/>
      <c r="S264" s="14"/>
      <c r="T264" s="14"/>
    </row>
    <row r="265" spans="1:20" ht="26.25" customHeight="1">
      <c r="A265" s="60" t="s">
        <v>85</v>
      </c>
      <c r="B265" s="65" t="s">
        <v>44</v>
      </c>
      <c r="C265" s="65" t="s">
        <v>8</v>
      </c>
      <c r="D265" s="65">
        <v>14</v>
      </c>
      <c r="E265" s="65" t="s">
        <v>29</v>
      </c>
      <c r="F265" s="65" t="s">
        <v>15</v>
      </c>
      <c r="G265" s="65" t="s">
        <v>13</v>
      </c>
      <c r="H265" s="65">
        <v>11270</v>
      </c>
      <c r="I265" s="65" t="s">
        <v>76</v>
      </c>
      <c r="J265" s="68"/>
      <c r="K265" s="68"/>
      <c r="L265" s="68"/>
      <c r="M265" s="177">
        <f>M272+M270+M275+M266</f>
        <v>3949223</v>
      </c>
      <c r="N265" s="177">
        <f>N272+N270+N275+N266</f>
        <v>0</v>
      </c>
      <c r="O265" s="177">
        <f>O272+O270+O275+O266</f>
        <v>3949223</v>
      </c>
      <c r="P265" s="61">
        <f t="shared" si="19"/>
        <v>100</v>
      </c>
      <c r="Q265" s="14"/>
      <c r="R265" s="14"/>
      <c r="S265" s="14"/>
      <c r="T265" s="14"/>
    </row>
    <row r="266" spans="1:20" ht="14.25" customHeight="1">
      <c r="A266" s="60" t="s">
        <v>247</v>
      </c>
      <c r="B266" s="65"/>
      <c r="C266" s="65"/>
      <c r="D266" s="65"/>
      <c r="E266" s="65"/>
      <c r="F266" s="65"/>
      <c r="G266" s="65"/>
      <c r="H266" s="65"/>
      <c r="I266" s="65"/>
      <c r="J266" s="68"/>
      <c r="K266" s="68"/>
      <c r="L266" s="68"/>
      <c r="M266" s="177">
        <f>M267</f>
        <v>200000</v>
      </c>
      <c r="N266" s="177">
        <f>N267</f>
        <v>0</v>
      </c>
      <c r="O266" s="177">
        <f>O267</f>
        <v>200000</v>
      </c>
      <c r="P266" s="61">
        <f t="shared" si="19"/>
        <v>100</v>
      </c>
      <c r="Q266" s="14"/>
      <c r="R266" s="14"/>
      <c r="S266" s="14"/>
      <c r="T266" s="14"/>
    </row>
    <row r="267" spans="1:20" ht="15" customHeight="1">
      <c r="A267" s="77" t="s">
        <v>422</v>
      </c>
      <c r="B267" s="63" t="s">
        <v>44</v>
      </c>
      <c r="C267" s="63" t="s">
        <v>8</v>
      </c>
      <c r="D267" s="63">
        <v>14</v>
      </c>
      <c r="E267" s="63" t="s">
        <v>29</v>
      </c>
      <c r="F267" s="63" t="s">
        <v>15</v>
      </c>
      <c r="G267" s="63" t="s">
        <v>13</v>
      </c>
      <c r="H267" s="63">
        <v>11270</v>
      </c>
      <c r="I267" s="63" t="s">
        <v>76</v>
      </c>
      <c r="J267" s="68"/>
      <c r="K267" s="68"/>
      <c r="L267" s="68"/>
      <c r="M267" s="49">
        <v>200000</v>
      </c>
      <c r="N267" s="46">
        <v>0</v>
      </c>
      <c r="O267" s="46">
        <v>200000</v>
      </c>
      <c r="P267" s="66">
        <f t="shared" si="19"/>
        <v>100</v>
      </c>
      <c r="Q267" s="14"/>
      <c r="R267" s="14"/>
      <c r="S267" s="14"/>
      <c r="T267" s="14"/>
    </row>
    <row r="268" spans="1:20" ht="25.5" customHeight="1">
      <c r="A268" s="71" t="s">
        <v>200</v>
      </c>
      <c r="B268" s="65"/>
      <c r="C268" s="65"/>
      <c r="D268" s="65"/>
      <c r="E268" s="65"/>
      <c r="F268" s="65"/>
      <c r="G268" s="65"/>
      <c r="H268" s="65"/>
      <c r="I268" s="65"/>
      <c r="J268" s="68"/>
      <c r="K268" s="68"/>
      <c r="L268" s="68"/>
      <c r="M268" s="183">
        <v>200000</v>
      </c>
      <c r="N268" s="47">
        <v>0</v>
      </c>
      <c r="O268" s="47">
        <v>200000</v>
      </c>
      <c r="P268" s="69">
        <f t="shared" si="19"/>
        <v>100</v>
      </c>
      <c r="Q268" s="14"/>
      <c r="R268" s="14"/>
      <c r="S268" s="14"/>
      <c r="T268" s="14"/>
    </row>
    <row r="269" spans="1:20" ht="14.25" customHeight="1">
      <c r="A269" s="60" t="s">
        <v>61</v>
      </c>
      <c r="B269" s="65"/>
      <c r="C269" s="65"/>
      <c r="D269" s="65"/>
      <c r="E269" s="65"/>
      <c r="F269" s="65"/>
      <c r="G269" s="65"/>
      <c r="H269" s="65"/>
      <c r="I269" s="65"/>
      <c r="J269" s="68"/>
      <c r="K269" s="68"/>
      <c r="L269" s="68"/>
      <c r="M269" s="177">
        <f>M270</f>
        <v>300000</v>
      </c>
      <c r="N269" s="177">
        <f>N270</f>
        <v>0</v>
      </c>
      <c r="O269" s="177">
        <f>O270</f>
        <v>300000</v>
      </c>
      <c r="P269" s="61">
        <f t="shared" si="19"/>
        <v>100</v>
      </c>
      <c r="Q269" s="14"/>
      <c r="R269" s="14"/>
      <c r="S269" s="14"/>
      <c r="T269" s="14"/>
    </row>
    <row r="270" spans="1:20" ht="15" customHeight="1">
      <c r="A270" s="62" t="s">
        <v>267</v>
      </c>
      <c r="B270" s="63" t="s">
        <v>44</v>
      </c>
      <c r="C270" s="63" t="s">
        <v>8</v>
      </c>
      <c r="D270" s="63">
        <v>14</v>
      </c>
      <c r="E270" s="63" t="s">
        <v>29</v>
      </c>
      <c r="F270" s="63" t="s">
        <v>15</v>
      </c>
      <c r="G270" s="63" t="s">
        <v>13</v>
      </c>
      <c r="H270" s="63">
        <v>11270</v>
      </c>
      <c r="I270" s="63" t="s">
        <v>76</v>
      </c>
      <c r="J270" s="68" t="s">
        <v>63</v>
      </c>
      <c r="K270" s="68">
        <v>0.7</v>
      </c>
      <c r="L270" s="68">
        <v>2017</v>
      </c>
      <c r="M270" s="49">
        <v>300000</v>
      </c>
      <c r="N270" s="46">
        <v>0</v>
      </c>
      <c r="O270" s="46">
        <v>300000</v>
      </c>
      <c r="P270" s="66">
        <f t="shared" si="19"/>
        <v>100</v>
      </c>
      <c r="Q270" s="14"/>
      <c r="R270" s="14"/>
      <c r="S270" s="14"/>
      <c r="T270" s="14"/>
    </row>
    <row r="271" spans="1:20" ht="26.25" customHeight="1">
      <c r="A271" s="71" t="s">
        <v>200</v>
      </c>
      <c r="B271" s="65"/>
      <c r="C271" s="65"/>
      <c r="D271" s="65"/>
      <c r="E271" s="65"/>
      <c r="F271" s="65"/>
      <c r="G271" s="65"/>
      <c r="H271" s="65"/>
      <c r="I271" s="65"/>
      <c r="J271" s="68"/>
      <c r="K271" s="68"/>
      <c r="L271" s="68"/>
      <c r="M271" s="183">
        <v>300000</v>
      </c>
      <c r="N271" s="47">
        <v>0</v>
      </c>
      <c r="O271" s="47">
        <v>300000</v>
      </c>
      <c r="P271" s="69">
        <f t="shared" si="19"/>
        <v>100</v>
      </c>
      <c r="Q271" s="14"/>
      <c r="R271" s="14"/>
      <c r="S271" s="14"/>
      <c r="T271" s="14"/>
    </row>
    <row r="272" spans="1:16" s="14" customFormat="1" ht="15.75" customHeight="1">
      <c r="A272" s="60" t="s">
        <v>92</v>
      </c>
      <c r="B272" s="63"/>
      <c r="C272" s="63"/>
      <c r="D272" s="63"/>
      <c r="E272" s="63"/>
      <c r="F272" s="63"/>
      <c r="G272" s="63"/>
      <c r="H272" s="63"/>
      <c r="I272" s="63"/>
      <c r="J272" s="72"/>
      <c r="K272" s="72"/>
      <c r="L272" s="68"/>
      <c r="M272" s="117">
        <f>M273</f>
        <v>3100000</v>
      </c>
      <c r="N272" s="117">
        <f>N273</f>
        <v>0</v>
      </c>
      <c r="O272" s="117">
        <f>O273</f>
        <v>3100000</v>
      </c>
      <c r="P272" s="61">
        <f t="shared" si="19"/>
        <v>100</v>
      </c>
    </row>
    <row r="273" spans="1:16" s="14" customFormat="1" ht="14.25" customHeight="1">
      <c r="A273" s="62" t="s">
        <v>269</v>
      </c>
      <c r="B273" s="63" t="s">
        <v>44</v>
      </c>
      <c r="C273" s="63" t="s">
        <v>8</v>
      </c>
      <c r="D273" s="63">
        <v>14</v>
      </c>
      <c r="E273" s="63" t="s">
        <v>29</v>
      </c>
      <c r="F273" s="63" t="s">
        <v>15</v>
      </c>
      <c r="G273" s="63" t="s">
        <v>13</v>
      </c>
      <c r="H273" s="63">
        <v>11270</v>
      </c>
      <c r="I273" s="63" t="s">
        <v>76</v>
      </c>
      <c r="J273" s="72" t="s">
        <v>63</v>
      </c>
      <c r="K273" s="72">
        <v>5</v>
      </c>
      <c r="L273" s="68">
        <v>2016</v>
      </c>
      <c r="M273" s="64">
        <f>2381450.14+718549.86</f>
        <v>3100000</v>
      </c>
      <c r="N273" s="46">
        <v>0</v>
      </c>
      <c r="O273" s="46">
        <v>3100000</v>
      </c>
      <c r="P273" s="66">
        <f t="shared" si="19"/>
        <v>100</v>
      </c>
    </row>
    <row r="274" spans="1:16" s="14" customFormat="1" ht="26.25" customHeight="1">
      <c r="A274" s="71" t="s">
        <v>200</v>
      </c>
      <c r="B274" s="63"/>
      <c r="C274" s="63"/>
      <c r="D274" s="63"/>
      <c r="E274" s="63"/>
      <c r="F274" s="63"/>
      <c r="G274" s="63"/>
      <c r="H274" s="63"/>
      <c r="I274" s="63"/>
      <c r="J274" s="72"/>
      <c r="K274" s="72"/>
      <c r="L274" s="68"/>
      <c r="M274" s="67">
        <f>2381450.14+718549.86</f>
        <v>3100000</v>
      </c>
      <c r="N274" s="47">
        <v>0</v>
      </c>
      <c r="O274" s="47">
        <v>3100000</v>
      </c>
      <c r="P274" s="69">
        <f t="shared" si="19"/>
        <v>100</v>
      </c>
    </row>
    <row r="275" spans="1:16" s="14" customFormat="1" ht="16.5" customHeight="1">
      <c r="A275" s="60" t="s">
        <v>62</v>
      </c>
      <c r="B275" s="63"/>
      <c r="C275" s="63"/>
      <c r="D275" s="63"/>
      <c r="E275" s="63"/>
      <c r="F275" s="63"/>
      <c r="G275" s="63"/>
      <c r="H275" s="63"/>
      <c r="I275" s="63"/>
      <c r="J275" s="72"/>
      <c r="K275" s="72"/>
      <c r="L275" s="68"/>
      <c r="M275" s="117">
        <f>M276</f>
        <v>349223</v>
      </c>
      <c r="N275" s="117">
        <f>N276</f>
        <v>0</v>
      </c>
      <c r="O275" s="117">
        <f>O276</f>
        <v>349223</v>
      </c>
      <c r="P275" s="61">
        <f t="shared" si="19"/>
        <v>100</v>
      </c>
    </row>
    <row r="276" spans="1:16" s="14" customFormat="1" ht="24" customHeight="1">
      <c r="A276" s="62" t="s">
        <v>268</v>
      </c>
      <c r="B276" s="63" t="s">
        <v>44</v>
      </c>
      <c r="C276" s="63" t="s">
        <v>8</v>
      </c>
      <c r="D276" s="63">
        <v>14</v>
      </c>
      <c r="E276" s="63" t="s">
        <v>29</v>
      </c>
      <c r="F276" s="63" t="s">
        <v>15</v>
      </c>
      <c r="G276" s="63" t="s">
        <v>13</v>
      </c>
      <c r="H276" s="63">
        <v>11270</v>
      </c>
      <c r="I276" s="63" t="s">
        <v>76</v>
      </c>
      <c r="J276" s="72"/>
      <c r="K276" s="72"/>
      <c r="L276" s="68"/>
      <c r="M276" s="64">
        <v>349223</v>
      </c>
      <c r="N276" s="42">
        <v>0</v>
      </c>
      <c r="O276" s="42">
        <v>349223</v>
      </c>
      <c r="P276" s="66">
        <f t="shared" si="19"/>
        <v>100</v>
      </c>
    </row>
    <row r="277" spans="1:16" s="14" customFormat="1" ht="24.75" customHeight="1">
      <c r="A277" s="71" t="s">
        <v>200</v>
      </c>
      <c r="B277" s="63"/>
      <c r="C277" s="63"/>
      <c r="D277" s="63"/>
      <c r="E277" s="63"/>
      <c r="F277" s="63"/>
      <c r="G277" s="63"/>
      <c r="H277" s="63"/>
      <c r="I277" s="63"/>
      <c r="J277" s="72"/>
      <c r="K277" s="72"/>
      <c r="L277" s="68"/>
      <c r="M277" s="67">
        <v>349223</v>
      </c>
      <c r="N277" s="43">
        <v>0</v>
      </c>
      <c r="O277" s="43">
        <v>349223</v>
      </c>
      <c r="P277" s="69">
        <f t="shared" si="19"/>
        <v>100</v>
      </c>
    </row>
    <row r="278" spans="1:16" s="14" customFormat="1" ht="26.25" customHeight="1">
      <c r="A278" s="60" t="s">
        <v>218</v>
      </c>
      <c r="B278" s="65" t="s">
        <v>44</v>
      </c>
      <c r="C278" s="65" t="s">
        <v>8</v>
      </c>
      <c r="D278" s="65">
        <v>14</v>
      </c>
      <c r="E278" s="65" t="s">
        <v>29</v>
      </c>
      <c r="F278" s="65" t="s">
        <v>15</v>
      </c>
      <c r="G278" s="65" t="s">
        <v>13</v>
      </c>
      <c r="H278" s="65">
        <v>11270</v>
      </c>
      <c r="I278" s="65" t="s">
        <v>76</v>
      </c>
      <c r="J278" s="72"/>
      <c r="K278" s="72"/>
      <c r="L278" s="68"/>
      <c r="M278" s="117">
        <f>M281+M279</f>
        <v>705258</v>
      </c>
      <c r="N278" s="117">
        <f>N281+N279</f>
        <v>0</v>
      </c>
      <c r="O278" s="117">
        <f>O281+O279</f>
        <v>155258</v>
      </c>
      <c r="P278" s="61">
        <f t="shared" si="19"/>
        <v>22.014355030357684</v>
      </c>
    </row>
    <row r="279" spans="1:16" s="14" customFormat="1" ht="15.75" customHeight="1">
      <c r="A279" s="174" t="s">
        <v>321</v>
      </c>
      <c r="B279" s="65"/>
      <c r="C279" s="65"/>
      <c r="D279" s="65"/>
      <c r="E279" s="65"/>
      <c r="F279" s="65"/>
      <c r="G279" s="65"/>
      <c r="H279" s="65"/>
      <c r="I279" s="65"/>
      <c r="J279" s="72"/>
      <c r="K279" s="72"/>
      <c r="L279" s="68"/>
      <c r="M279" s="117">
        <f>M280</f>
        <v>550000</v>
      </c>
      <c r="N279" s="117">
        <f>N280</f>
        <v>0</v>
      </c>
      <c r="O279" s="117">
        <f>O280</f>
        <v>0</v>
      </c>
      <c r="P279" s="61">
        <f t="shared" si="19"/>
        <v>0</v>
      </c>
    </row>
    <row r="280" spans="1:16" s="14" customFormat="1" ht="25.5" customHeight="1">
      <c r="A280" s="62" t="s">
        <v>322</v>
      </c>
      <c r="B280" s="63" t="s">
        <v>44</v>
      </c>
      <c r="C280" s="63" t="s">
        <v>8</v>
      </c>
      <c r="D280" s="63">
        <v>14</v>
      </c>
      <c r="E280" s="63" t="s">
        <v>29</v>
      </c>
      <c r="F280" s="63" t="s">
        <v>15</v>
      </c>
      <c r="G280" s="63" t="s">
        <v>13</v>
      </c>
      <c r="H280" s="63">
        <v>11270</v>
      </c>
      <c r="I280" s="63" t="s">
        <v>76</v>
      </c>
      <c r="J280" s="72" t="s">
        <v>371</v>
      </c>
      <c r="K280" s="72">
        <v>60</v>
      </c>
      <c r="L280" s="68">
        <v>2016</v>
      </c>
      <c r="M280" s="64">
        <v>550000</v>
      </c>
      <c r="N280" s="67"/>
      <c r="O280" s="64"/>
      <c r="P280" s="66">
        <f t="shared" si="19"/>
        <v>0</v>
      </c>
    </row>
    <row r="281" spans="1:16" s="14" customFormat="1" ht="15" customHeight="1">
      <c r="A281" s="174" t="s">
        <v>270</v>
      </c>
      <c r="B281" s="63"/>
      <c r="C281" s="63"/>
      <c r="D281" s="63"/>
      <c r="E281" s="63"/>
      <c r="F281" s="63"/>
      <c r="G281" s="63"/>
      <c r="H281" s="63"/>
      <c r="I281" s="63"/>
      <c r="J281" s="72"/>
      <c r="K281" s="72"/>
      <c r="L281" s="68"/>
      <c r="M281" s="117">
        <f>M282</f>
        <v>155258</v>
      </c>
      <c r="N281" s="117">
        <f>N282</f>
        <v>0</v>
      </c>
      <c r="O281" s="117">
        <f>O282</f>
        <v>155258</v>
      </c>
      <c r="P281" s="61">
        <f t="shared" si="19"/>
        <v>100</v>
      </c>
    </row>
    <row r="282" spans="1:16" s="14" customFormat="1" ht="13.5" customHeight="1">
      <c r="A282" s="77" t="s">
        <v>271</v>
      </c>
      <c r="B282" s="63" t="s">
        <v>44</v>
      </c>
      <c r="C282" s="63" t="s">
        <v>8</v>
      </c>
      <c r="D282" s="63">
        <v>14</v>
      </c>
      <c r="E282" s="63" t="s">
        <v>29</v>
      </c>
      <c r="F282" s="63" t="s">
        <v>15</v>
      </c>
      <c r="G282" s="63" t="s">
        <v>13</v>
      </c>
      <c r="H282" s="63">
        <v>11270</v>
      </c>
      <c r="I282" s="63" t="s">
        <v>76</v>
      </c>
      <c r="J282" s="72"/>
      <c r="K282" s="72"/>
      <c r="L282" s="68"/>
      <c r="M282" s="64">
        <v>155258</v>
      </c>
      <c r="N282" s="42">
        <v>0</v>
      </c>
      <c r="O282" s="42">
        <v>155258</v>
      </c>
      <c r="P282" s="66">
        <f t="shared" si="19"/>
        <v>100</v>
      </c>
    </row>
    <row r="283" spans="1:16" s="14" customFormat="1" ht="24" customHeight="1">
      <c r="A283" s="71" t="s">
        <v>200</v>
      </c>
      <c r="B283" s="63"/>
      <c r="C283" s="63"/>
      <c r="D283" s="63"/>
      <c r="E283" s="63"/>
      <c r="F283" s="63"/>
      <c r="G283" s="63"/>
      <c r="H283" s="63"/>
      <c r="I283" s="63"/>
      <c r="J283" s="72"/>
      <c r="K283" s="72"/>
      <c r="L283" s="68"/>
      <c r="M283" s="67">
        <v>155258</v>
      </c>
      <c r="N283" s="43">
        <v>0</v>
      </c>
      <c r="O283" s="43">
        <v>155258</v>
      </c>
      <c r="P283" s="69">
        <f t="shared" si="19"/>
        <v>100</v>
      </c>
    </row>
    <row r="284" spans="1:20" ht="24" customHeight="1">
      <c r="A284" s="60" t="s">
        <v>47</v>
      </c>
      <c r="B284" s="65" t="s">
        <v>44</v>
      </c>
      <c r="C284" s="65" t="s">
        <v>9</v>
      </c>
      <c r="D284" s="65"/>
      <c r="E284" s="184" t="s">
        <v>0</v>
      </c>
      <c r="F284" s="184" t="s">
        <v>0</v>
      </c>
      <c r="G284" s="184" t="s">
        <v>0</v>
      </c>
      <c r="H284" s="63"/>
      <c r="I284" s="63"/>
      <c r="J284" s="112"/>
      <c r="K284" s="112"/>
      <c r="L284" s="113"/>
      <c r="M284" s="177">
        <f>M286</f>
        <v>257710296</v>
      </c>
      <c r="N284" s="177">
        <f>N286</f>
        <v>150533111.75</v>
      </c>
      <c r="O284" s="177">
        <f>O286</f>
        <v>154442705.75</v>
      </c>
      <c r="P284" s="61">
        <f t="shared" si="19"/>
        <v>59.92880693831495</v>
      </c>
      <c r="Q284" s="14"/>
      <c r="R284" s="14"/>
      <c r="S284" s="14"/>
      <c r="T284" s="14"/>
    </row>
    <row r="285" spans="1:20" ht="38.25" customHeight="1">
      <c r="A285" s="60" t="s">
        <v>190</v>
      </c>
      <c r="B285" s="60" t="s">
        <v>44</v>
      </c>
      <c r="C285" s="60" t="s">
        <v>9</v>
      </c>
      <c r="D285" s="60">
        <v>21</v>
      </c>
      <c r="E285" s="184"/>
      <c r="F285" s="184"/>
      <c r="G285" s="184"/>
      <c r="H285" s="63"/>
      <c r="I285" s="63"/>
      <c r="J285" s="112"/>
      <c r="K285" s="112"/>
      <c r="L285" s="113"/>
      <c r="M285" s="177">
        <f>M286</f>
        <v>257710296</v>
      </c>
      <c r="N285" s="177">
        <f aca="true" t="shared" si="20" ref="N285:O287">N286</f>
        <v>150533111.75</v>
      </c>
      <c r="O285" s="177">
        <f t="shared" si="20"/>
        <v>154442705.75</v>
      </c>
      <c r="P285" s="61">
        <f t="shared" si="19"/>
        <v>59.92880693831495</v>
      </c>
      <c r="Q285" s="14"/>
      <c r="R285" s="14"/>
      <c r="S285" s="14"/>
      <c r="T285" s="14"/>
    </row>
    <row r="286" spans="1:20" ht="24">
      <c r="A286" s="60" t="s">
        <v>28</v>
      </c>
      <c r="B286" s="65" t="s">
        <v>44</v>
      </c>
      <c r="C286" s="65" t="s">
        <v>9</v>
      </c>
      <c r="D286" s="60">
        <v>21</v>
      </c>
      <c r="E286" s="65" t="s">
        <v>29</v>
      </c>
      <c r="F286" s="184"/>
      <c r="G286" s="184"/>
      <c r="H286" s="63"/>
      <c r="I286" s="63"/>
      <c r="J286" s="112"/>
      <c r="K286" s="112"/>
      <c r="L286" s="113"/>
      <c r="M286" s="177">
        <f>M287</f>
        <v>257710296</v>
      </c>
      <c r="N286" s="177">
        <f t="shared" si="20"/>
        <v>150533111.75</v>
      </c>
      <c r="O286" s="177">
        <f t="shared" si="20"/>
        <v>154442705.75</v>
      </c>
      <c r="P286" s="61">
        <f t="shared" si="19"/>
        <v>59.92880693831495</v>
      </c>
      <c r="Q286" s="14"/>
      <c r="R286" s="14"/>
      <c r="S286" s="14"/>
      <c r="T286" s="14"/>
    </row>
    <row r="287" spans="1:20" ht="12.75">
      <c r="A287" s="60" t="s">
        <v>16</v>
      </c>
      <c r="B287" s="65" t="s">
        <v>44</v>
      </c>
      <c r="C287" s="65" t="s">
        <v>9</v>
      </c>
      <c r="D287" s="60">
        <v>21</v>
      </c>
      <c r="E287" s="65" t="s">
        <v>29</v>
      </c>
      <c r="F287" s="65" t="s">
        <v>14</v>
      </c>
      <c r="G287" s="65" t="s">
        <v>0</v>
      </c>
      <c r="H287" s="63"/>
      <c r="I287" s="63"/>
      <c r="J287" s="112"/>
      <c r="K287" s="112"/>
      <c r="L287" s="113"/>
      <c r="M287" s="177">
        <f>M288</f>
        <v>257710296</v>
      </c>
      <c r="N287" s="177">
        <f t="shared" si="20"/>
        <v>150533111.75</v>
      </c>
      <c r="O287" s="177">
        <f t="shared" si="20"/>
        <v>154442705.75</v>
      </c>
      <c r="P287" s="61">
        <f t="shared" si="19"/>
        <v>59.92880693831495</v>
      </c>
      <c r="Q287" s="14"/>
      <c r="R287" s="14"/>
      <c r="S287" s="14"/>
      <c r="T287" s="14"/>
    </row>
    <row r="288" spans="1:20" ht="15" customHeight="1">
      <c r="A288" s="60" t="s">
        <v>48</v>
      </c>
      <c r="B288" s="65" t="s">
        <v>44</v>
      </c>
      <c r="C288" s="65" t="s">
        <v>9</v>
      </c>
      <c r="D288" s="60">
        <v>21</v>
      </c>
      <c r="E288" s="65" t="s">
        <v>29</v>
      </c>
      <c r="F288" s="65" t="s">
        <v>14</v>
      </c>
      <c r="G288" s="65" t="s">
        <v>20</v>
      </c>
      <c r="H288" s="65"/>
      <c r="I288" s="65"/>
      <c r="J288" s="112"/>
      <c r="K288" s="112"/>
      <c r="L288" s="113"/>
      <c r="M288" s="177">
        <f>M289+M290</f>
        <v>257710296</v>
      </c>
      <c r="N288" s="177">
        <f>N289+N290</f>
        <v>150533111.75</v>
      </c>
      <c r="O288" s="177">
        <f>O289+O290</f>
        <v>154442705.75</v>
      </c>
      <c r="P288" s="61">
        <f t="shared" si="19"/>
        <v>59.92880693831495</v>
      </c>
      <c r="Q288" s="14"/>
      <c r="R288" s="14"/>
      <c r="S288" s="14"/>
      <c r="T288" s="14"/>
    </row>
    <row r="289" spans="1:20" ht="28.5" customHeight="1">
      <c r="A289" s="60" t="s">
        <v>78</v>
      </c>
      <c r="B289" s="65" t="s">
        <v>44</v>
      </c>
      <c r="C289" s="65" t="s">
        <v>9</v>
      </c>
      <c r="D289" s="60">
        <v>21</v>
      </c>
      <c r="E289" s="65" t="s">
        <v>29</v>
      </c>
      <c r="F289" s="65" t="s">
        <v>14</v>
      </c>
      <c r="G289" s="65" t="s">
        <v>20</v>
      </c>
      <c r="H289" s="65">
        <v>16160</v>
      </c>
      <c r="I289" s="65" t="s">
        <v>0</v>
      </c>
      <c r="J289" s="112"/>
      <c r="K289" s="112"/>
      <c r="L289" s="113"/>
      <c r="M289" s="177">
        <f aca="true" t="shared" si="21" ref="M289:O290">M291</f>
        <v>106909594</v>
      </c>
      <c r="N289" s="177">
        <f t="shared" si="21"/>
        <v>0</v>
      </c>
      <c r="O289" s="177">
        <f t="shared" si="21"/>
        <v>3909594</v>
      </c>
      <c r="P289" s="61">
        <f t="shared" si="19"/>
        <v>3.6569159546148873</v>
      </c>
      <c r="Q289" s="14"/>
      <c r="R289" s="14"/>
      <c r="S289" s="14"/>
      <c r="T289" s="14"/>
    </row>
    <row r="290" spans="1:20" ht="86.25" customHeight="1">
      <c r="A290" s="110" t="s">
        <v>279</v>
      </c>
      <c r="B290" s="65" t="s">
        <v>44</v>
      </c>
      <c r="C290" s="65" t="s">
        <v>9</v>
      </c>
      <c r="D290" s="60">
        <v>21</v>
      </c>
      <c r="E290" s="65" t="s">
        <v>29</v>
      </c>
      <c r="F290" s="65" t="s">
        <v>14</v>
      </c>
      <c r="G290" s="115" t="s">
        <v>20</v>
      </c>
      <c r="H290" s="60" t="s">
        <v>274</v>
      </c>
      <c r="I290" s="62"/>
      <c r="J290" s="70"/>
      <c r="K290" s="70"/>
      <c r="L290" s="70"/>
      <c r="M290" s="177">
        <f t="shared" si="21"/>
        <v>150800702</v>
      </c>
      <c r="N290" s="177">
        <f t="shared" si="21"/>
        <v>150533111.75</v>
      </c>
      <c r="O290" s="177">
        <f t="shared" si="21"/>
        <v>150533111.75</v>
      </c>
      <c r="P290" s="61">
        <f t="shared" si="19"/>
        <v>99.82255371065845</v>
      </c>
      <c r="Q290" s="14"/>
      <c r="R290" s="14"/>
      <c r="S290" s="14"/>
      <c r="T290" s="14"/>
    </row>
    <row r="291" spans="1:20" ht="17.25" customHeight="1">
      <c r="A291" s="199" t="s">
        <v>75</v>
      </c>
      <c r="B291" s="65" t="s">
        <v>44</v>
      </c>
      <c r="C291" s="65" t="s">
        <v>9</v>
      </c>
      <c r="D291" s="60">
        <v>21</v>
      </c>
      <c r="E291" s="65" t="s">
        <v>29</v>
      </c>
      <c r="F291" s="65" t="s">
        <v>14</v>
      </c>
      <c r="G291" s="65" t="s">
        <v>20</v>
      </c>
      <c r="H291" s="65">
        <v>16160</v>
      </c>
      <c r="I291" s="65" t="s">
        <v>76</v>
      </c>
      <c r="J291" s="70"/>
      <c r="K291" s="70"/>
      <c r="L291" s="70"/>
      <c r="M291" s="177">
        <f>M296+M298+M299+M301</f>
        <v>106909594</v>
      </c>
      <c r="N291" s="177">
        <f>N296+N298+N299+N301</f>
        <v>0</v>
      </c>
      <c r="O291" s="177">
        <f>O296+O298+O299+O301</f>
        <v>3909594</v>
      </c>
      <c r="P291" s="61">
        <f t="shared" si="19"/>
        <v>3.6569159546148873</v>
      </c>
      <c r="Q291" s="14"/>
      <c r="R291" s="14"/>
      <c r="S291" s="14"/>
      <c r="T291" s="14"/>
    </row>
    <row r="292" spans="1:20" ht="18" customHeight="1">
      <c r="A292" s="200"/>
      <c r="B292" s="65" t="s">
        <v>44</v>
      </c>
      <c r="C292" s="65" t="s">
        <v>9</v>
      </c>
      <c r="D292" s="60">
        <v>21</v>
      </c>
      <c r="E292" s="65" t="s">
        <v>29</v>
      </c>
      <c r="F292" s="65" t="s">
        <v>14</v>
      </c>
      <c r="G292" s="115" t="s">
        <v>20</v>
      </c>
      <c r="H292" s="60" t="s">
        <v>274</v>
      </c>
      <c r="I292" s="65" t="s">
        <v>76</v>
      </c>
      <c r="J292" s="112"/>
      <c r="K292" s="112"/>
      <c r="L292" s="113"/>
      <c r="M292" s="177">
        <f>M294+M295</f>
        <v>150800702</v>
      </c>
      <c r="N292" s="177">
        <f>N294+N295</f>
        <v>150533111.75</v>
      </c>
      <c r="O292" s="177">
        <f>O294+O295</f>
        <v>150533111.75</v>
      </c>
      <c r="P292" s="61">
        <f t="shared" si="19"/>
        <v>99.82255371065845</v>
      </c>
      <c r="Q292" s="14"/>
      <c r="R292" s="14"/>
      <c r="S292" s="14"/>
      <c r="T292" s="14"/>
    </row>
    <row r="293" spans="1:20" ht="15" customHeight="1">
      <c r="A293" s="60" t="s">
        <v>81</v>
      </c>
      <c r="B293" s="65"/>
      <c r="C293" s="65"/>
      <c r="D293" s="65"/>
      <c r="E293" s="65"/>
      <c r="F293" s="65"/>
      <c r="G293" s="65"/>
      <c r="H293" s="65"/>
      <c r="I293" s="65"/>
      <c r="J293" s="112"/>
      <c r="K293" s="112"/>
      <c r="L293" s="113"/>
      <c r="M293" s="177">
        <f>M294+M295+M296</f>
        <v>238800702</v>
      </c>
      <c r="N293" s="177">
        <f>N294+N295+N296</f>
        <v>150533111.75</v>
      </c>
      <c r="O293" s="177">
        <f>O294+O295+O296</f>
        <v>150533111.75</v>
      </c>
      <c r="P293" s="61">
        <f t="shared" si="19"/>
        <v>63.037131168064995</v>
      </c>
      <c r="Q293" s="14"/>
      <c r="R293" s="14"/>
      <c r="S293" s="14"/>
      <c r="T293" s="14"/>
    </row>
    <row r="294" spans="1:20" ht="24.75" customHeight="1">
      <c r="A294" s="62" t="s">
        <v>423</v>
      </c>
      <c r="B294" s="63" t="s">
        <v>44</v>
      </c>
      <c r="C294" s="63" t="s">
        <v>9</v>
      </c>
      <c r="D294" s="63">
        <v>21</v>
      </c>
      <c r="E294" s="63" t="s">
        <v>29</v>
      </c>
      <c r="F294" s="63" t="s">
        <v>14</v>
      </c>
      <c r="G294" s="63" t="s">
        <v>20</v>
      </c>
      <c r="H294" s="63" t="s">
        <v>274</v>
      </c>
      <c r="I294" s="63" t="s">
        <v>76</v>
      </c>
      <c r="J294" s="113" t="s">
        <v>63</v>
      </c>
      <c r="K294" s="116">
        <v>0.271</v>
      </c>
      <c r="L294" s="113">
        <v>2016</v>
      </c>
      <c r="M294" s="49">
        <v>68520435</v>
      </c>
      <c r="N294" s="52">
        <v>68520434.75</v>
      </c>
      <c r="O294" s="52">
        <v>68520434.75</v>
      </c>
      <c r="P294" s="66">
        <f t="shared" si="19"/>
        <v>99.99999963514534</v>
      </c>
      <c r="Q294" s="14"/>
      <c r="R294" s="14"/>
      <c r="S294" s="14"/>
      <c r="T294" s="14"/>
    </row>
    <row r="295" spans="1:20" ht="25.5" customHeight="1">
      <c r="A295" s="62" t="s">
        <v>220</v>
      </c>
      <c r="B295" s="63" t="s">
        <v>44</v>
      </c>
      <c r="C295" s="63" t="s">
        <v>9</v>
      </c>
      <c r="D295" s="63">
        <v>21</v>
      </c>
      <c r="E295" s="63" t="s">
        <v>29</v>
      </c>
      <c r="F295" s="63" t="s">
        <v>14</v>
      </c>
      <c r="G295" s="63" t="s">
        <v>20</v>
      </c>
      <c r="H295" s="63" t="s">
        <v>274</v>
      </c>
      <c r="I295" s="63">
        <v>522</v>
      </c>
      <c r="J295" s="113" t="s">
        <v>63</v>
      </c>
      <c r="K295" s="116">
        <v>0.101</v>
      </c>
      <c r="L295" s="113">
        <v>2016</v>
      </c>
      <c r="M295" s="49">
        <v>82280267</v>
      </c>
      <c r="N295" s="49">
        <v>82012677</v>
      </c>
      <c r="O295" s="49">
        <v>82012677</v>
      </c>
      <c r="P295" s="66">
        <f t="shared" si="19"/>
        <v>99.67478229014498</v>
      </c>
      <c r="Q295" s="14"/>
      <c r="R295" s="14"/>
      <c r="S295" s="14"/>
      <c r="T295" s="14"/>
    </row>
    <row r="296" spans="1:20" ht="38.25" customHeight="1">
      <c r="A296" s="62" t="s">
        <v>424</v>
      </c>
      <c r="B296" s="63" t="s">
        <v>44</v>
      </c>
      <c r="C296" s="63" t="s">
        <v>9</v>
      </c>
      <c r="D296" s="63">
        <v>21</v>
      </c>
      <c r="E296" s="63" t="s">
        <v>29</v>
      </c>
      <c r="F296" s="63" t="s">
        <v>14</v>
      </c>
      <c r="G296" s="63" t="s">
        <v>20</v>
      </c>
      <c r="H296" s="63">
        <v>16160</v>
      </c>
      <c r="I296" s="63">
        <v>522</v>
      </c>
      <c r="J296" s="116" t="s">
        <v>63</v>
      </c>
      <c r="K296" s="116"/>
      <c r="L296" s="116">
        <v>2016</v>
      </c>
      <c r="M296" s="49">
        <v>88000000</v>
      </c>
      <c r="N296" s="64"/>
      <c r="O296" s="64"/>
      <c r="P296" s="66">
        <f t="shared" si="19"/>
        <v>0</v>
      </c>
      <c r="Q296" s="14"/>
      <c r="R296" s="14"/>
      <c r="S296" s="14"/>
      <c r="T296" s="14"/>
    </row>
    <row r="297" spans="1:20" ht="12.75">
      <c r="A297" s="73" t="s">
        <v>120</v>
      </c>
      <c r="B297" s="63"/>
      <c r="C297" s="63"/>
      <c r="D297" s="63"/>
      <c r="E297" s="63"/>
      <c r="F297" s="63"/>
      <c r="G297" s="63"/>
      <c r="H297" s="63"/>
      <c r="I297" s="63"/>
      <c r="J297" s="76"/>
      <c r="K297" s="68"/>
      <c r="L297" s="68"/>
      <c r="M297" s="177">
        <f>M298+M299</f>
        <v>15000000</v>
      </c>
      <c r="N297" s="177">
        <f>N298+N299</f>
        <v>0</v>
      </c>
      <c r="O297" s="177">
        <f>O298+O299</f>
        <v>0</v>
      </c>
      <c r="P297" s="61">
        <f t="shared" si="19"/>
        <v>0</v>
      </c>
      <c r="Q297" s="14"/>
      <c r="R297" s="14"/>
      <c r="S297" s="14"/>
      <c r="T297" s="14"/>
    </row>
    <row r="298" spans="1:20" ht="24">
      <c r="A298" s="62" t="s">
        <v>233</v>
      </c>
      <c r="B298" s="63" t="s">
        <v>44</v>
      </c>
      <c r="C298" s="63" t="s">
        <v>9</v>
      </c>
      <c r="D298" s="63">
        <v>21</v>
      </c>
      <c r="E298" s="63" t="s">
        <v>29</v>
      </c>
      <c r="F298" s="63" t="s">
        <v>14</v>
      </c>
      <c r="G298" s="63" t="s">
        <v>20</v>
      </c>
      <c r="H298" s="63">
        <v>16160</v>
      </c>
      <c r="I298" s="63" t="s">
        <v>76</v>
      </c>
      <c r="J298" s="76" t="s">
        <v>63</v>
      </c>
      <c r="K298" s="68"/>
      <c r="L298" s="68">
        <v>2016</v>
      </c>
      <c r="M298" s="49">
        <v>10000000</v>
      </c>
      <c r="N298" s="64"/>
      <c r="O298" s="64"/>
      <c r="P298" s="66">
        <f t="shared" si="19"/>
        <v>0</v>
      </c>
      <c r="Q298" s="14"/>
      <c r="R298" s="14"/>
      <c r="S298" s="14"/>
      <c r="T298" s="14"/>
    </row>
    <row r="299" spans="1:20" ht="24">
      <c r="A299" s="62" t="s">
        <v>121</v>
      </c>
      <c r="B299" s="63" t="s">
        <v>44</v>
      </c>
      <c r="C299" s="63" t="s">
        <v>9</v>
      </c>
      <c r="D299" s="63">
        <v>21</v>
      </c>
      <c r="E299" s="63" t="s">
        <v>29</v>
      </c>
      <c r="F299" s="63" t="s">
        <v>14</v>
      </c>
      <c r="G299" s="63" t="s">
        <v>20</v>
      </c>
      <c r="H299" s="63">
        <v>16160</v>
      </c>
      <c r="I299" s="63" t="s">
        <v>76</v>
      </c>
      <c r="J299" s="76" t="s">
        <v>63</v>
      </c>
      <c r="K299" s="68"/>
      <c r="L299" s="68">
        <v>2016</v>
      </c>
      <c r="M299" s="49">
        <v>5000000</v>
      </c>
      <c r="N299" s="64"/>
      <c r="O299" s="64"/>
      <c r="P299" s="66">
        <f t="shared" si="19"/>
        <v>0</v>
      </c>
      <c r="Q299" s="14"/>
      <c r="R299" s="14"/>
      <c r="S299" s="14"/>
      <c r="T299" s="14"/>
    </row>
    <row r="300" spans="1:16" s="14" customFormat="1" ht="12.75" customHeight="1">
      <c r="A300" s="60" t="s">
        <v>131</v>
      </c>
      <c r="B300" s="63"/>
      <c r="C300" s="63"/>
      <c r="D300" s="63"/>
      <c r="E300" s="63"/>
      <c r="F300" s="63"/>
      <c r="G300" s="63"/>
      <c r="H300" s="63"/>
      <c r="I300" s="63"/>
      <c r="J300" s="76"/>
      <c r="K300" s="68"/>
      <c r="L300" s="68"/>
      <c r="M300" s="177">
        <f>M301</f>
        <v>3909594</v>
      </c>
      <c r="N300" s="177">
        <f>N301</f>
        <v>0</v>
      </c>
      <c r="O300" s="177">
        <f>O301</f>
        <v>3909594</v>
      </c>
      <c r="P300" s="61">
        <f t="shared" si="19"/>
        <v>100</v>
      </c>
    </row>
    <row r="301" spans="1:16" s="14" customFormat="1" ht="47.25" customHeight="1">
      <c r="A301" s="62" t="s">
        <v>354</v>
      </c>
      <c r="B301" s="63" t="s">
        <v>44</v>
      </c>
      <c r="C301" s="63" t="s">
        <v>9</v>
      </c>
      <c r="D301" s="63">
        <v>21</v>
      </c>
      <c r="E301" s="63" t="s">
        <v>29</v>
      </c>
      <c r="F301" s="63" t="s">
        <v>14</v>
      </c>
      <c r="G301" s="63" t="s">
        <v>20</v>
      </c>
      <c r="H301" s="63">
        <v>16160</v>
      </c>
      <c r="I301" s="63" t="s">
        <v>76</v>
      </c>
      <c r="J301" s="76"/>
      <c r="K301" s="68"/>
      <c r="L301" s="68"/>
      <c r="M301" s="49">
        <f>M302</f>
        <v>3909594</v>
      </c>
      <c r="N301" s="42">
        <v>0</v>
      </c>
      <c r="O301" s="42">
        <v>3909594</v>
      </c>
      <c r="P301" s="66">
        <f t="shared" si="19"/>
        <v>100</v>
      </c>
    </row>
    <row r="302" spans="1:16" s="14" customFormat="1" ht="22.5" customHeight="1">
      <c r="A302" s="71" t="s">
        <v>200</v>
      </c>
      <c r="B302" s="63"/>
      <c r="C302" s="63"/>
      <c r="D302" s="63"/>
      <c r="E302" s="63"/>
      <c r="F302" s="63"/>
      <c r="G302" s="63"/>
      <c r="H302" s="63"/>
      <c r="I302" s="63"/>
      <c r="J302" s="76"/>
      <c r="K302" s="68"/>
      <c r="L302" s="68"/>
      <c r="M302" s="183">
        <v>3909594</v>
      </c>
      <c r="N302" s="43">
        <v>0</v>
      </c>
      <c r="O302" s="43">
        <v>3909594</v>
      </c>
      <c r="P302" s="69">
        <f t="shared" si="19"/>
        <v>100</v>
      </c>
    </row>
    <row r="303" spans="1:16" s="14" customFormat="1" ht="48" customHeight="1">
      <c r="A303" s="60" t="s">
        <v>357</v>
      </c>
      <c r="B303" s="65">
        <v>20</v>
      </c>
      <c r="C303" s="65">
        <v>0</v>
      </c>
      <c r="D303" s="63"/>
      <c r="E303" s="63"/>
      <c r="F303" s="63"/>
      <c r="G303" s="63"/>
      <c r="H303" s="63"/>
      <c r="I303" s="63"/>
      <c r="J303" s="76"/>
      <c r="K303" s="68"/>
      <c r="L303" s="68"/>
      <c r="M303" s="177">
        <f>M305</f>
        <v>100762973.53</v>
      </c>
      <c r="N303" s="177">
        <f>N305</f>
        <v>44654560.08</v>
      </c>
      <c r="O303" s="177">
        <f>O305</f>
        <v>50595794.08</v>
      </c>
      <c r="P303" s="61">
        <f t="shared" si="19"/>
        <v>50.212684587891985</v>
      </c>
    </row>
    <row r="304" spans="1:16" s="14" customFormat="1" ht="48" customHeight="1">
      <c r="A304" s="60" t="s">
        <v>252</v>
      </c>
      <c r="B304" s="65">
        <v>20</v>
      </c>
      <c r="C304" s="65">
        <v>0</v>
      </c>
      <c r="D304" s="65">
        <v>11</v>
      </c>
      <c r="E304" s="63"/>
      <c r="F304" s="63"/>
      <c r="G304" s="63"/>
      <c r="H304" s="63"/>
      <c r="I304" s="63"/>
      <c r="J304" s="76"/>
      <c r="K304" s="68"/>
      <c r="L304" s="68"/>
      <c r="M304" s="177">
        <f>M305</f>
        <v>100762973.53</v>
      </c>
      <c r="N304" s="177">
        <f aca="true" t="shared" si="22" ref="N304:O306">N305</f>
        <v>44654560.08</v>
      </c>
      <c r="O304" s="177">
        <f t="shared" si="22"/>
        <v>50595794.08</v>
      </c>
      <c r="P304" s="61">
        <f t="shared" si="19"/>
        <v>50.212684587891985</v>
      </c>
    </row>
    <row r="305" spans="1:16" s="14" customFormat="1" ht="15.75" customHeight="1">
      <c r="A305" s="60" t="s">
        <v>40</v>
      </c>
      <c r="B305" s="65">
        <v>20</v>
      </c>
      <c r="C305" s="65">
        <v>0</v>
      </c>
      <c r="D305" s="65">
        <v>11</v>
      </c>
      <c r="E305" s="65" t="s">
        <v>29</v>
      </c>
      <c r="F305" s="65" t="s">
        <v>19</v>
      </c>
      <c r="G305" s="65" t="s">
        <v>13</v>
      </c>
      <c r="H305" s="65"/>
      <c r="I305" s="65"/>
      <c r="J305" s="185"/>
      <c r="K305" s="185"/>
      <c r="L305" s="172"/>
      <c r="M305" s="117">
        <f>M306</f>
        <v>100762973.53</v>
      </c>
      <c r="N305" s="117">
        <f t="shared" si="22"/>
        <v>44654560.08</v>
      </c>
      <c r="O305" s="117">
        <f t="shared" si="22"/>
        <v>50595794.08</v>
      </c>
      <c r="P305" s="61">
        <f t="shared" si="19"/>
        <v>50.212684587891985</v>
      </c>
    </row>
    <row r="306" spans="1:16" s="14" customFormat="1" ht="24" customHeight="1">
      <c r="A306" s="60" t="s">
        <v>331</v>
      </c>
      <c r="B306" s="65">
        <v>20</v>
      </c>
      <c r="C306" s="65">
        <v>0</v>
      </c>
      <c r="D306" s="65">
        <v>11</v>
      </c>
      <c r="E306" s="65" t="s">
        <v>29</v>
      </c>
      <c r="F306" s="65" t="s">
        <v>19</v>
      </c>
      <c r="G306" s="65" t="s">
        <v>13</v>
      </c>
      <c r="H306" s="65" t="s">
        <v>329</v>
      </c>
      <c r="I306" s="65" t="s">
        <v>0</v>
      </c>
      <c r="J306" s="185"/>
      <c r="K306" s="185"/>
      <c r="L306" s="172"/>
      <c r="M306" s="117">
        <f>M307</f>
        <v>100762973.53</v>
      </c>
      <c r="N306" s="117">
        <f t="shared" si="22"/>
        <v>44654560.08</v>
      </c>
      <c r="O306" s="117">
        <f t="shared" si="22"/>
        <v>50595794.08</v>
      </c>
      <c r="P306" s="61">
        <f t="shared" si="19"/>
        <v>50.212684587891985</v>
      </c>
    </row>
    <row r="307" spans="1:16" s="14" customFormat="1" ht="24.75" customHeight="1">
      <c r="A307" s="60" t="s">
        <v>75</v>
      </c>
      <c r="B307" s="65">
        <v>20</v>
      </c>
      <c r="C307" s="65">
        <v>0</v>
      </c>
      <c r="D307" s="65">
        <v>11</v>
      </c>
      <c r="E307" s="65" t="s">
        <v>29</v>
      </c>
      <c r="F307" s="65" t="s">
        <v>19</v>
      </c>
      <c r="G307" s="65" t="s">
        <v>13</v>
      </c>
      <c r="H307" s="65" t="s">
        <v>329</v>
      </c>
      <c r="I307" s="65" t="s">
        <v>76</v>
      </c>
      <c r="J307" s="185"/>
      <c r="K307" s="185"/>
      <c r="L307" s="165"/>
      <c r="M307" s="117">
        <f>M311+M309+M313</f>
        <v>100762973.53</v>
      </c>
      <c r="N307" s="117">
        <f>N311+N309+N313</f>
        <v>44654560.08</v>
      </c>
      <c r="O307" s="117">
        <f>O311+O309+O313</f>
        <v>50595794.08</v>
      </c>
      <c r="P307" s="61">
        <f t="shared" si="19"/>
        <v>50.212684587891985</v>
      </c>
    </row>
    <row r="308" spans="1:16" s="14" customFormat="1" ht="14.25" customHeight="1">
      <c r="A308" s="60" t="s">
        <v>313</v>
      </c>
      <c r="B308" s="65"/>
      <c r="C308" s="65"/>
      <c r="D308" s="65"/>
      <c r="E308" s="65"/>
      <c r="F308" s="65"/>
      <c r="G308" s="65"/>
      <c r="H308" s="65"/>
      <c r="I308" s="65"/>
      <c r="J308" s="185"/>
      <c r="K308" s="185"/>
      <c r="L308" s="165"/>
      <c r="M308" s="117">
        <f>M309</f>
        <v>52403039.08</v>
      </c>
      <c r="N308" s="117">
        <f>N309</f>
        <v>16011485.08</v>
      </c>
      <c r="O308" s="117">
        <f>O309</f>
        <v>15256349.08</v>
      </c>
      <c r="P308" s="61">
        <f t="shared" si="19"/>
        <v>29.11348148474598</v>
      </c>
    </row>
    <row r="309" spans="1:16" s="14" customFormat="1" ht="22.5" customHeight="1">
      <c r="A309" s="62" t="s">
        <v>330</v>
      </c>
      <c r="B309" s="63">
        <v>20</v>
      </c>
      <c r="C309" s="63">
        <v>0</v>
      </c>
      <c r="D309" s="159" t="s">
        <v>11</v>
      </c>
      <c r="E309" s="63" t="s">
        <v>29</v>
      </c>
      <c r="F309" s="63" t="s">
        <v>19</v>
      </c>
      <c r="G309" s="63" t="s">
        <v>13</v>
      </c>
      <c r="H309" s="63" t="s">
        <v>329</v>
      </c>
      <c r="I309" s="63" t="s">
        <v>76</v>
      </c>
      <c r="J309" s="165" t="s">
        <v>145</v>
      </c>
      <c r="K309" s="186">
        <v>600</v>
      </c>
      <c r="L309" s="187">
        <v>2016</v>
      </c>
      <c r="M309" s="64">
        <v>52403039.08</v>
      </c>
      <c r="N309" s="46">
        <v>16011485.08</v>
      </c>
      <c r="O309" s="46">
        <v>15256349.08</v>
      </c>
      <c r="P309" s="66">
        <f t="shared" si="19"/>
        <v>29.11348148474598</v>
      </c>
    </row>
    <row r="310" spans="1:16" s="14" customFormat="1" ht="15" customHeight="1">
      <c r="A310" s="73" t="s">
        <v>70</v>
      </c>
      <c r="B310" s="63"/>
      <c r="C310" s="63"/>
      <c r="D310" s="63"/>
      <c r="E310" s="63"/>
      <c r="F310" s="63"/>
      <c r="G310" s="63"/>
      <c r="H310" s="63"/>
      <c r="I310" s="63"/>
      <c r="J310" s="165"/>
      <c r="K310" s="186"/>
      <c r="L310" s="165"/>
      <c r="M310" s="117">
        <f>M311</f>
        <v>39317130.95</v>
      </c>
      <c r="N310" s="117">
        <f>N311</f>
        <v>28643075</v>
      </c>
      <c r="O310" s="117">
        <f>O311</f>
        <v>35339445</v>
      </c>
      <c r="P310" s="61">
        <f t="shared" si="19"/>
        <v>89.88307169447724</v>
      </c>
    </row>
    <row r="311" spans="1:16" s="14" customFormat="1" ht="15" customHeight="1">
      <c r="A311" s="62" t="s">
        <v>328</v>
      </c>
      <c r="B311" s="63">
        <v>20</v>
      </c>
      <c r="C311" s="63">
        <v>0</v>
      </c>
      <c r="D311" s="159" t="s">
        <v>11</v>
      </c>
      <c r="E311" s="63" t="s">
        <v>29</v>
      </c>
      <c r="F311" s="63" t="s">
        <v>19</v>
      </c>
      <c r="G311" s="63" t="s">
        <v>13</v>
      </c>
      <c r="H311" s="63" t="s">
        <v>329</v>
      </c>
      <c r="I311" s="63" t="s">
        <v>76</v>
      </c>
      <c r="J311" s="165" t="s">
        <v>145</v>
      </c>
      <c r="K311" s="186">
        <v>500</v>
      </c>
      <c r="L311" s="187">
        <v>2016</v>
      </c>
      <c r="M311" s="64">
        <f>32620760.95+6696370</f>
        <v>39317130.95</v>
      </c>
      <c r="N311" s="58">
        <f>35339445-6696370</f>
        <v>28643075</v>
      </c>
      <c r="O311" s="58">
        <v>35339445</v>
      </c>
      <c r="P311" s="66">
        <f t="shared" si="19"/>
        <v>89.88307169447724</v>
      </c>
    </row>
    <row r="312" spans="1:16" s="14" customFormat="1" ht="22.5" customHeight="1">
      <c r="A312" s="71" t="s">
        <v>200</v>
      </c>
      <c r="B312" s="65"/>
      <c r="C312" s="65"/>
      <c r="D312" s="65"/>
      <c r="E312" s="65"/>
      <c r="F312" s="65"/>
      <c r="G312" s="65"/>
      <c r="H312" s="65"/>
      <c r="I312" s="65"/>
      <c r="J312" s="185"/>
      <c r="K312" s="185"/>
      <c r="L312" s="165"/>
      <c r="M312" s="67">
        <v>6696370</v>
      </c>
      <c r="N312" s="42">
        <v>0</v>
      </c>
      <c r="O312" s="42">
        <v>6696370</v>
      </c>
      <c r="P312" s="66">
        <f t="shared" si="19"/>
        <v>100</v>
      </c>
    </row>
    <row r="313" spans="1:16" s="14" customFormat="1" ht="15" customHeight="1">
      <c r="A313" s="60" t="s">
        <v>248</v>
      </c>
      <c r="B313" s="65">
        <v>20</v>
      </c>
      <c r="C313" s="65">
        <v>0</v>
      </c>
      <c r="D313" s="115" t="s">
        <v>11</v>
      </c>
      <c r="E313" s="65" t="s">
        <v>29</v>
      </c>
      <c r="F313" s="65" t="s">
        <v>19</v>
      </c>
      <c r="G313" s="65" t="s">
        <v>13</v>
      </c>
      <c r="H313" s="65" t="s">
        <v>329</v>
      </c>
      <c r="I313" s="65" t="s">
        <v>76</v>
      </c>
      <c r="J313" s="165"/>
      <c r="K313" s="185"/>
      <c r="L313" s="165"/>
      <c r="M313" s="117">
        <v>9042803.5</v>
      </c>
      <c r="N313" s="64"/>
      <c r="O313" s="64"/>
      <c r="P313" s="61">
        <f t="shared" si="19"/>
        <v>0</v>
      </c>
    </row>
    <row r="314" spans="1:20" ht="27.75" customHeight="1">
      <c r="A314" s="60" t="s">
        <v>276</v>
      </c>
      <c r="B314" s="65" t="s">
        <v>51</v>
      </c>
      <c r="C314" s="65">
        <v>0</v>
      </c>
      <c r="D314" s="65"/>
      <c r="E314" s="65" t="s">
        <v>0</v>
      </c>
      <c r="F314" s="65" t="s">
        <v>0</v>
      </c>
      <c r="G314" s="65" t="s">
        <v>0</v>
      </c>
      <c r="H314" s="65"/>
      <c r="I314" s="65"/>
      <c r="J314" s="79"/>
      <c r="K314" s="79"/>
      <c r="L314" s="68"/>
      <c r="M314" s="177">
        <f>M316</f>
        <v>626705</v>
      </c>
      <c r="N314" s="177">
        <f>N316</f>
        <v>0</v>
      </c>
      <c r="O314" s="177">
        <f>O316</f>
        <v>421929</v>
      </c>
      <c r="P314" s="61">
        <f t="shared" si="19"/>
        <v>67.32497746148508</v>
      </c>
      <c r="Q314" s="14"/>
      <c r="R314" s="14"/>
      <c r="S314" s="14"/>
      <c r="T314" s="14"/>
    </row>
    <row r="315" spans="1:20" ht="23.25" customHeight="1">
      <c r="A315" s="60" t="s">
        <v>191</v>
      </c>
      <c r="B315" s="60" t="s">
        <v>51</v>
      </c>
      <c r="C315" s="60">
        <v>0</v>
      </c>
      <c r="D315" s="60">
        <v>14</v>
      </c>
      <c r="E315" s="65"/>
      <c r="F315" s="65"/>
      <c r="G315" s="65"/>
      <c r="H315" s="65"/>
      <c r="I315" s="65"/>
      <c r="J315" s="79"/>
      <c r="K315" s="79"/>
      <c r="L315" s="68"/>
      <c r="M315" s="177">
        <f>M316</f>
        <v>626705</v>
      </c>
      <c r="N315" s="177">
        <f>N316</f>
        <v>0</v>
      </c>
      <c r="O315" s="177">
        <f>O316</f>
        <v>421929</v>
      </c>
      <c r="P315" s="61">
        <f t="shared" si="19"/>
        <v>67.32497746148508</v>
      </c>
      <c r="Q315" s="14"/>
      <c r="R315" s="14"/>
      <c r="S315" s="14"/>
      <c r="T315" s="14"/>
    </row>
    <row r="316" spans="1:20" ht="24">
      <c r="A316" s="60" t="s">
        <v>28</v>
      </c>
      <c r="B316" s="65" t="s">
        <v>51</v>
      </c>
      <c r="C316" s="65">
        <v>0</v>
      </c>
      <c r="D316" s="60">
        <v>14</v>
      </c>
      <c r="E316" s="65" t="s">
        <v>29</v>
      </c>
      <c r="F316" s="65" t="s">
        <v>0</v>
      </c>
      <c r="G316" s="65" t="s">
        <v>0</v>
      </c>
      <c r="H316" s="65"/>
      <c r="I316" s="65"/>
      <c r="J316" s="176"/>
      <c r="K316" s="176"/>
      <c r="L316" s="68"/>
      <c r="M316" s="177">
        <f aca="true" t="shared" si="23" ref="M316:O321">M317</f>
        <v>626705</v>
      </c>
      <c r="N316" s="177">
        <f t="shared" si="23"/>
        <v>0</v>
      </c>
      <c r="O316" s="177">
        <f t="shared" si="23"/>
        <v>421929</v>
      </c>
      <c r="P316" s="61">
        <f t="shared" si="19"/>
        <v>67.32497746148508</v>
      </c>
      <c r="Q316" s="14"/>
      <c r="R316" s="14"/>
      <c r="S316" s="14"/>
      <c r="T316" s="14"/>
    </row>
    <row r="317" spans="1:20" ht="12.75">
      <c r="A317" s="60" t="s">
        <v>52</v>
      </c>
      <c r="B317" s="65" t="s">
        <v>51</v>
      </c>
      <c r="C317" s="65">
        <v>0</v>
      </c>
      <c r="D317" s="60">
        <v>14</v>
      </c>
      <c r="E317" s="65" t="s">
        <v>29</v>
      </c>
      <c r="F317" s="65" t="s">
        <v>11</v>
      </c>
      <c r="G317" s="65" t="s">
        <v>0</v>
      </c>
      <c r="H317" s="65"/>
      <c r="I317" s="65"/>
      <c r="J317" s="176"/>
      <c r="K317" s="176"/>
      <c r="L317" s="68"/>
      <c r="M317" s="177">
        <f t="shared" si="23"/>
        <v>626705</v>
      </c>
      <c r="N317" s="177">
        <f t="shared" si="23"/>
        <v>0</v>
      </c>
      <c r="O317" s="177">
        <f t="shared" si="23"/>
        <v>421929</v>
      </c>
      <c r="P317" s="61">
        <f t="shared" si="19"/>
        <v>67.32497746148508</v>
      </c>
      <c r="Q317" s="14"/>
      <c r="R317" s="14"/>
      <c r="S317" s="14"/>
      <c r="T317" s="14"/>
    </row>
    <row r="318" spans="1:20" ht="12.75">
      <c r="A318" s="60" t="s">
        <v>53</v>
      </c>
      <c r="B318" s="65" t="s">
        <v>51</v>
      </c>
      <c r="C318" s="65">
        <v>0</v>
      </c>
      <c r="D318" s="60">
        <v>14</v>
      </c>
      <c r="E318" s="65" t="s">
        <v>29</v>
      </c>
      <c r="F318" s="65" t="s">
        <v>11</v>
      </c>
      <c r="G318" s="65" t="s">
        <v>12</v>
      </c>
      <c r="H318" s="65"/>
      <c r="I318" s="65"/>
      <c r="J318" s="188"/>
      <c r="K318" s="188"/>
      <c r="L318" s="189"/>
      <c r="M318" s="177">
        <f t="shared" si="23"/>
        <v>626705</v>
      </c>
      <c r="N318" s="177">
        <f t="shared" si="23"/>
        <v>0</v>
      </c>
      <c r="O318" s="177">
        <f t="shared" si="23"/>
        <v>421929</v>
      </c>
      <c r="P318" s="61">
        <f t="shared" si="19"/>
        <v>67.32497746148508</v>
      </c>
      <c r="Q318" s="14"/>
      <c r="R318" s="14"/>
      <c r="S318" s="14"/>
      <c r="T318" s="14"/>
    </row>
    <row r="319" spans="1:20" ht="24.75" customHeight="1">
      <c r="A319" s="60" t="s">
        <v>79</v>
      </c>
      <c r="B319" s="65" t="s">
        <v>51</v>
      </c>
      <c r="C319" s="65">
        <v>0</v>
      </c>
      <c r="D319" s="60">
        <v>14</v>
      </c>
      <c r="E319" s="65" t="s">
        <v>29</v>
      </c>
      <c r="F319" s="65" t="s">
        <v>11</v>
      </c>
      <c r="G319" s="65" t="s">
        <v>12</v>
      </c>
      <c r="H319" s="65">
        <v>11270</v>
      </c>
      <c r="I319" s="65" t="s">
        <v>0</v>
      </c>
      <c r="J319" s="79"/>
      <c r="K319" s="176"/>
      <c r="L319" s="68"/>
      <c r="M319" s="177">
        <f t="shared" si="23"/>
        <v>626705</v>
      </c>
      <c r="N319" s="177">
        <f t="shared" si="23"/>
        <v>0</v>
      </c>
      <c r="O319" s="177">
        <f t="shared" si="23"/>
        <v>421929</v>
      </c>
      <c r="P319" s="61">
        <f t="shared" si="19"/>
        <v>67.32497746148508</v>
      </c>
      <c r="Q319" s="14"/>
      <c r="R319" s="14"/>
      <c r="S319" s="14"/>
      <c r="T319" s="14"/>
    </row>
    <row r="320" spans="1:20" ht="25.5" customHeight="1">
      <c r="A320" s="60" t="s">
        <v>75</v>
      </c>
      <c r="B320" s="65" t="s">
        <v>51</v>
      </c>
      <c r="C320" s="65">
        <v>0</v>
      </c>
      <c r="D320" s="60">
        <v>14</v>
      </c>
      <c r="E320" s="65" t="s">
        <v>29</v>
      </c>
      <c r="F320" s="65" t="s">
        <v>11</v>
      </c>
      <c r="G320" s="65" t="s">
        <v>12</v>
      </c>
      <c r="H320" s="65">
        <v>11270</v>
      </c>
      <c r="I320" s="65" t="s">
        <v>76</v>
      </c>
      <c r="J320" s="112"/>
      <c r="K320" s="112"/>
      <c r="L320" s="113"/>
      <c r="M320" s="129">
        <f>M321+M324+M327</f>
        <v>626705</v>
      </c>
      <c r="N320" s="129">
        <f>N321+N324+N327</f>
        <v>0</v>
      </c>
      <c r="O320" s="129">
        <f>O321+O324+O327</f>
        <v>421929</v>
      </c>
      <c r="P320" s="61">
        <f t="shared" si="19"/>
        <v>67.32497746148508</v>
      </c>
      <c r="Q320" s="14"/>
      <c r="R320" s="14"/>
      <c r="S320" s="14"/>
      <c r="T320" s="14"/>
    </row>
    <row r="321" spans="1:20" ht="12.75">
      <c r="A321" s="60" t="s">
        <v>86</v>
      </c>
      <c r="B321" s="65"/>
      <c r="C321" s="65"/>
      <c r="D321" s="65"/>
      <c r="E321" s="65"/>
      <c r="F321" s="65"/>
      <c r="G321" s="65"/>
      <c r="H321" s="65"/>
      <c r="I321" s="65"/>
      <c r="J321" s="112"/>
      <c r="K321" s="112"/>
      <c r="L321" s="113"/>
      <c r="M321" s="117">
        <f t="shared" si="23"/>
        <v>207000</v>
      </c>
      <c r="N321" s="117">
        <f t="shared" si="23"/>
        <v>0</v>
      </c>
      <c r="O321" s="117">
        <f t="shared" si="23"/>
        <v>2224</v>
      </c>
      <c r="P321" s="61">
        <f t="shared" si="19"/>
        <v>1.0743961352657003</v>
      </c>
      <c r="Q321" s="14"/>
      <c r="R321" s="14"/>
      <c r="S321" s="14"/>
      <c r="T321" s="14"/>
    </row>
    <row r="322" spans="1:20" s="10" customFormat="1" ht="15.75" customHeight="1">
      <c r="A322" s="62" t="s">
        <v>250</v>
      </c>
      <c r="B322" s="63" t="s">
        <v>51</v>
      </c>
      <c r="C322" s="63">
        <v>0</v>
      </c>
      <c r="D322" s="63">
        <v>14</v>
      </c>
      <c r="E322" s="63" t="s">
        <v>29</v>
      </c>
      <c r="F322" s="63" t="s">
        <v>11</v>
      </c>
      <c r="G322" s="63" t="s">
        <v>12</v>
      </c>
      <c r="H322" s="63">
        <v>11270</v>
      </c>
      <c r="I322" s="63" t="s">
        <v>76</v>
      </c>
      <c r="J322" s="113" t="s">
        <v>113</v>
      </c>
      <c r="K322" s="113">
        <v>2268.26</v>
      </c>
      <c r="L322" s="113"/>
      <c r="M322" s="64">
        <v>207000</v>
      </c>
      <c r="N322" s="42">
        <v>0</v>
      </c>
      <c r="O322" s="42">
        <v>2224</v>
      </c>
      <c r="P322" s="66">
        <f t="shared" si="19"/>
        <v>1.0743961352657003</v>
      </c>
      <c r="Q322" s="14"/>
      <c r="R322" s="14"/>
      <c r="S322" s="14"/>
      <c r="T322" s="14"/>
    </row>
    <row r="323" spans="1:16" s="14" customFormat="1" ht="26.25" customHeight="1">
      <c r="A323" s="71" t="s">
        <v>200</v>
      </c>
      <c r="B323" s="63"/>
      <c r="C323" s="63"/>
      <c r="D323" s="63"/>
      <c r="E323" s="63"/>
      <c r="F323" s="63"/>
      <c r="G323" s="63"/>
      <c r="H323" s="63"/>
      <c r="I323" s="63"/>
      <c r="J323" s="116"/>
      <c r="K323" s="116"/>
      <c r="L323" s="116"/>
      <c r="M323" s="67">
        <v>2224</v>
      </c>
      <c r="N323" s="43">
        <v>0</v>
      </c>
      <c r="O323" s="43">
        <v>2224</v>
      </c>
      <c r="P323" s="69">
        <f t="shared" si="19"/>
        <v>100</v>
      </c>
    </row>
    <row r="324" spans="1:16" s="14" customFormat="1" ht="15" customHeight="1">
      <c r="A324" s="60" t="s">
        <v>60</v>
      </c>
      <c r="B324" s="173"/>
      <c r="C324" s="173"/>
      <c r="D324" s="173"/>
      <c r="E324" s="173"/>
      <c r="F324" s="173"/>
      <c r="G324" s="173"/>
      <c r="H324" s="173"/>
      <c r="I324" s="173"/>
      <c r="J324" s="190"/>
      <c r="K324" s="190"/>
      <c r="L324" s="190"/>
      <c r="M324" s="117">
        <f>M325</f>
        <v>414705</v>
      </c>
      <c r="N324" s="117">
        <f>N325</f>
        <v>0</v>
      </c>
      <c r="O324" s="117">
        <f>O325</f>
        <v>414705</v>
      </c>
      <c r="P324" s="61">
        <f t="shared" si="19"/>
        <v>100</v>
      </c>
    </row>
    <row r="325" spans="1:16" s="14" customFormat="1" ht="24" customHeight="1">
      <c r="A325" s="62" t="s">
        <v>161</v>
      </c>
      <c r="B325" s="63" t="s">
        <v>51</v>
      </c>
      <c r="C325" s="63">
        <v>0</v>
      </c>
      <c r="D325" s="63">
        <v>14</v>
      </c>
      <c r="E325" s="63" t="s">
        <v>29</v>
      </c>
      <c r="F325" s="63" t="s">
        <v>11</v>
      </c>
      <c r="G325" s="63" t="s">
        <v>12</v>
      </c>
      <c r="H325" s="63">
        <v>11270</v>
      </c>
      <c r="I325" s="63" t="s">
        <v>76</v>
      </c>
      <c r="J325" s="116" t="s">
        <v>58</v>
      </c>
      <c r="K325" s="116">
        <v>2000</v>
      </c>
      <c r="L325" s="72"/>
      <c r="M325" s="64">
        <f>419705-5000</f>
        <v>414705</v>
      </c>
      <c r="N325" s="46">
        <v>0</v>
      </c>
      <c r="O325" s="46">
        <v>414705</v>
      </c>
      <c r="P325" s="66">
        <f t="shared" si="19"/>
        <v>100</v>
      </c>
    </row>
    <row r="326" spans="1:16" s="14" customFormat="1" ht="25.5" customHeight="1">
      <c r="A326" s="71" t="s">
        <v>200</v>
      </c>
      <c r="B326" s="63"/>
      <c r="C326" s="63"/>
      <c r="D326" s="63"/>
      <c r="E326" s="63"/>
      <c r="F326" s="63"/>
      <c r="G326" s="63"/>
      <c r="H326" s="63"/>
      <c r="I326" s="63"/>
      <c r="J326" s="116"/>
      <c r="K326" s="116"/>
      <c r="L326" s="72"/>
      <c r="M326" s="67">
        <f>419705-5000</f>
        <v>414705</v>
      </c>
      <c r="N326" s="47">
        <v>0</v>
      </c>
      <c r="O326" s="47">
        <v>414705</v>
      </c>
      <c r="P326" s="69">
        <f t="shared" si="19"/>
        <v>100</v>
      </c>
    </row>
    <row r="327" spans="1:16" s="14" customFormat="1" ht="12.75">
      <c r="A327" s="60" t="s">
        <v>65</v>
      </c>
      <c r="B327" s="63"/>
      <c r="C327" s="63"/>
      <c r="D327" s="63"/>
      <c r="E327" s="63"/>
      <c r="F327" s="63"/>
      <c r="G327" s="63"/>
      <c r="H327" s="63"/>
      <c r="I327" s="63"/>
      <c r="J327" s="116"/>
      <c r="K327" s="116"/>
      <c r="L327" s="116"/>
      <c r="M327" s="117">
        <f>M328</f>
        <v>5000</v>
      </c>
      <c r="N327" s="117">
        <f>N328</f>
        <v>0</v>
      </c>
      <c r="O327" s="117">
        <f>O328</f>
        <v>5000</v>
      </c>
      <c r="P327" s="61">
        <f t="shared" si="19"/>
        <v>100</v>
      </c>
    </row>
    <row r="328" spans="1:16" s="14" customFormat="1" ht="12" customHeight="1">
      <c r="A328" s="62" t="s">
        <v>355</v>
      </c>
      <c r="B328" s="63" t="s">
        <v>51</v>
      </c>
      <c r="C328" s="63">
        <v>0</v>
      </c>
      <c r="D328" s="63">
        <v>14</v>
      </c>
      <c r="E328" s="63" t="s">
        <v>29</v>
      </c>
      <c r="F328" s="63" t="s">
        <v>11</v>
      </c>
      <c r="G328" s="63" t="s">
        <v>12</v>
      </c>
      <c r="H328" s="63">
        <v>11270</v>
      </c>
      <c r="I328" s="63" t="s">
        <v>76</v>
      </c>
      <c r="J328" s="190" t="s">
        <v>230</v>
      </c>
      <c r="K328" s="190">
        <v>40</v>
      </c>
      <c r="L328" s="190"/>
      <c r="M328" s="64">
        <f>M329</f>
        <v>5000</v>
      </c>
      <c r="N328" s="46">
        <v>0</v>
      </c>
      <c r="O328" s="46">
        <v>5000</v>
      </c>
      <c r="P328" s="66">
        <f>O328/M328*100</f>
        <v>100</v>
      </c>
    </row>
    <row r="329" spans="1:16" s="14" customFormat="1" ht="24.75" customHeight="1">
      <c r="A329" s="71" t="s">
        <v>200</v>
      </c>
      <c r="B329" s="63"/>
      <c r="C329" s="63"/>
      <c r="D329" s="63"/>
      <c r="E329" s="63"/>
      <c r="F329" s="63"/>
      <c r="G329" s="63"/>
      <c r="H329" s="63"/>
      <c r="I329" s="63"/>
      <c r="J329" s="116"/>
      <c r="K329" s="116"/>
      <c r="L329" s="116"/>
      <c r="M329" s="67">
        <v>5000</v>
      </c>
      <c r="N329" s="47">
        <v>0</v>
      </c>
      <c r="O329" s="47">
        <v>5000</v>
      </c>
      <c r="P329" s="69">
        <f>O329/M329*100</f>
        <v>100</v>
      </c>
    </row>
    <row r="330" spans="1:12" ht="23.25" customHeight="1">
      <c r="A330" s="21"/>
      <c r="B330" s="16"/>
      <c r="C330" s="16"/>
      <c r="D330" s="16"/>
      <c r="E330" s="16"/>
      <c r="F330" s="16"/>
      <c r="G330" s="16"/>
      <c r="H330" s="16"/>
      <c r="I330" s="16"/>
      <c r="J330" s="4"/>
      <c r="K330" s="17"/>
      <c r="L330" s="16"/>
    </row>
    <row r="331" spans="1:15" ht="26.25" customHeight="1">
      <c r="A331" s="203" t="s">
        <v>405</v>
      </c>
      <c r="B331" s="203"/>
      <c r="C331" s="203"/>
      <c r="D331" s="203"/>
      <c r="E331" s="203"/>
      <c r="F331" s="203"/>
      <c r="G331" s="203"/>
      <c r="H331" s="203"/>
      <c r="I331" s="203"/>
      <c r="J331" s="203"/>
      <c r="K331" s="203"/>
      <c r="L331" s="38"/>
      <c r="M331" s="39"/>
      <c r="N331" s="195" t="s">
        <v>406</v>
      </c>
      <c r="O331" s="195"/>
    </row>
    <row r="335" ht="15.75">
      <c r="A335" s="37" t="s">
        <v>407</v>
      </c>
    </row>
    <row r="336" ht="15.75">
      <c r="A336" s="37" t="s">
        <v>408</v>
      </c>
    </row>
  </sheetData>
  <sheetProtection/>
  <autoFilter ref="B5:I329"/>
  <mergeCells count="11">
    <mergeCell ref="A204:A205"/>
    <mergeCell ref="A4:P4"/>
    <mergeCell ref="A2:P2"/>
    <mergeCell ref="A1:P1"/>
    <mergeCell ref="A3:P3"/>
    <mergeCell ref="A331:K331"/>
    <mergeCell ref="N331:O331"/>
    <mergeCell ref="A148:A149"/>
    <mergeCell ref="A291:A292"/>
    <mergeCell ref="A192:A193"/>
    <mergeCell ref="A190:A191"/>
  </mergeCells>
  <printOptions/>
  <pageMargins left="0.1968503937007874" right="0.1968503937007874" top="0.3937007874015748" bottom="0.3937007874015748" header="0" footer="0"/>
  <pageSetup fitToHeight="0" horizontalDpi="600" verticalDpi="600" orientation="landscape" paperSize="9" scale="92" r:id="rId1"/>
  <headerFooter>
    <oddFooter>&amp;R&amp;P</oddFooter>
  </headerFooter>
  <rowBreaks count="2" manualBreakCount="2">
    <brk id="170" max="15" man="1"/>
    <brk id="17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2014-10-30T14:48:34Z</cp:lastPrinted>
  <dcterms:created xsi:type="dcterms:W3CDTF">2006-09-16T00:00:00Z</dcterms:created>
  <dcterms:modified xsi:type="dcterms:W3CDTF">2016-11-15T11:34:45Z</dcterms:modified>
  <cp:category/>
  <cp:version/>
  <cp:contentType/>
  <cp:contentStatus/>
</cp:coreProperties>
</file>